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G:\AAF\Proposal Support Services\Intramural Funding\CUSE Grants\CUSE Grants 2022\"/>
    </mc:Choice>
  </mc:AlternateContent>
  <xr:revisionPtr revIDLastSave="0" documentId="13_ncr:1_{031AF537-EC74-410A-9E96-95D3D20B137E}" xr6:coauthVersionLast="47" xr6:coauthVersionMax="47" xr10:uidLastSave="{00000000-0000-0000-0000-000000000000}"/>
  <workbookProtection workbookAlgorithmName="SHA-512" workbookHashValue="fpR/Dao/f5jAvV8t9p664h4rqygk5vLx/ae303alsQdYH61hvpvj2+7usvMeNrC7Ved/qSUg32bUL7nghiOH0g==" workbookSaltValue="ud2DwShOPWxHOuqtSLyErg==" workbookSpinCount="100000" lockStructure="1"/>
  <bookViews>
    <workbookView xWindow="-25320" yWindow="-15" windowWidth="25440" windowHeight="15390" tabRatio="806" xr2:uid="{00000000-000D-0000-FFFF-FFFF00000000}"/>
  </bookViews>
  <sheets>
    <sheet name="Instructions" sheetId="21" r:id="rId1"/>
    <sheet name="Personnel Yr 1" sheetId="1" r:id="rId2"/>
    <sheet name="Personnel Yr 2" sheetId="9" r:id="rId3"/>
    <sheet name="Personnel Yr 3" sheetId="10" state="hidden" r:id="rId4"/>
    <sheet name="Personnel Yr 4" sheetId="11" state="hidden" r:id="rId5"/>
    <sheet name="Personnel Yr 5" sheetId="12" state="hidden" r:id="rId6"/>
    <sheet name="Non-personnel" sheetId="2" r:id="rId7"/>
    <sheet name="Summary" sheetId="8" state="hidden" r:id="rId8"/>
    <sheet name="CUSE Grant Budget Form" sheetId="13" r:id="rId9"/>
    <sheet name="NIH Mod-Even Dist" sheetId="23" state="hidden" r:id="rId10"/>
    <sheet name="NIH Mod-Free" sheetId="22" state="hidden" r:id="rId11"/>
    <sheet name="OSA" sheetId="24" state="hidden" r:id="rId12"/>
    <sheet name="Drop Choices" sheetId="3" state="hidden" r:id="rId13"/>
    <sheet name="Justification" sheetId="17" state="hidden" r:id="rId14"/>
    <sheet name="424a" sheetId="18" state="hidden" r:id="rId15"/>
    <sheet name="ED524" sheetId="19" state="hidden" r:id="rId16"/>
    <sheet name="Change Log" sheetId="20" state="hidden" r:id="rId17"/>
  </sheets>
  <externalReferences>
    <externalReference r:id="rId18"/>
  </externalReferences>
  <definedNames>
    <definedName name="Ben" localSheetId="0">'[1]Drop Choices'!$C$4:$C$6</definedName>
    <definedName name="Ben">'Drop Choices'!$C$5:$C$8</definedName>
    <definedName name="Confirm2">'Drop Choices'!$E$2</definedName>
    <definedName name="Duration" localSheetId="0">'[1]Drop Choices'!$M$2:$M$6</definedName>
    <definedName name="Duration">'Drop Choices'!$M$2:$M$3</definedName>
    <definedName name="Grad" localSheetId="0">'[1]Drop Choices'!$C$2:$C$3</definedName>
    <definedName name="Grad">'Drop Choices'!$C$2:$C$4</definedName>
    <definedName name="GradR" localSheetId="0">'[1]Drop Choices'!$D$2:$D$3</definedName>
    <definedName name="GradR">'Drop Choices'!$D$2:$D$4</definedName>
    <definedName name="IDCDesc" localSheetId="0">'[1]Drop Choices'!$G$2:$G$7</definedName>
    <definedName name="IDCDesc">'Drop Choices'!$G$2:$G$7</definedName>
    <definedName name="IDCDesc2" localSheetId="0">'[1]Drop Choices'!$J$2:$J$7</definedName>
    <definedName name="IDCDesc2">'Drop Choices'!$J$2:$J$7</definedName>
    <definedName name="IDCList">'Drop Choices'!$F$2:$F$7</definedName>
    <definedName name="IDCList2" localSheetId="0">'[1]Drop Choices'!$I$2:$I$7</definedName>
    <definedName name="IDCList2">'Drop Choices'!$I$2:$I$7</definedName>
    <definedName name="IDCRate" localSheetId="0">'[1]Drop Choices'!$H$2:$H$7</definedName>
    <definedName name="IDCRate">'Drop Choices'!$H$2:$H$7</definedName>
    <definedName name="IDCRate2" localSheetId="0">'[1]Drop Choices'!$K$2:$K$7</definedName>
    <definedName name="IDCRate2">'Drop Choices'!$K$2:$K$7</definedName>
    <definedName name="IDCType" localSheetId="0">'[1]Drop Choices'!$B$2:$B$5</definedName>
    <definedName name="IDCType">'Drop Choices'!$B$2:$B$5</definedName>
    <definedName name="NIHGradLimit">'Drop Choices'!$Q$2</definedName>
    <definedName name="NIHSalaryCap">'Drop Choices'!$P$3</definedName>
    <definedName name="Per" localSheetId="0">'[1]Drop Choices'!$D$4:$D$6</definedName>
    <definedName name="Per">'Drop Choices'!$D$5:$D$8</definedName>
    <definedName name="Prefix" localSheetId="0">'[1]Drop Choices'!$A$2:$A$7</definedName>
    <definedName name="Prefix">'Drop Choices'!$A$2:$A$8</definedName>
    <definedName name="_xlnm.Print_Area" localSheetId="0">Instructions!$A$1:$K$28</definedName>
    <definedName name="_xlnm.Print_Area" localSheetId="13">Justification!$A$1:$B$82</definedName>
    <definedName name="_xlnm.Print_Area" localSheetId="9">'NIH Mod-Even Dist'!$A$1:$I$19</definedName>
    <definedName name="_xlnm.Print_Area" localSheetId="10">'NIH Mod-Free'!$A$1:$I$19</definedName>
    <definedName name="_xlnm.Print_Area" localSheetId="6">'Non-personnel'!$A$1:$S$90</definedName>
    <definedName name="_xlnm.Print_Area" localSheetId="1">'Personnel Yr 1'!$A$1:$N$30</definedName>
    <definedName name="_xlnm.Print_Area" localSheetId="2">'Personnel Yr 2'!$A$1:$N$30</definedName>
    <definedName name="_xlnm.Print_Area" localSheetId="3">'Personnel Yr 3'!$A$1:$N$30</definedName>
    <definedName name="_xlnm.Print_Area" localSheetId="4">'Personnel Yr 4'!$A$1:$N$30</definedName>
    <definedName name="_xlnm.Print_Area" localSheetId="5">'Personnel Yr 5'!$A$1:$N$30</definedName>
    <definedName name="_xlnm.Print_Area" localSheetId="7">Summary!$A$1:$G$32</definedName>
    <definedName name="_xlnm.Print_Titles" localSheetId="8">'CUSE Grant Budget Form'!$1:$3</definedName>
    <definedName name="_xlnm.Print_Titles" localSheetId="6">'Non-personnel'!$1:$3</definedName>
    <definedName name="ReqSal" localSheetId="2">'Personnel Yr 2'!#REF!</definedName>
    <definedName name="ReqSal" localSheetId="3">'Personnel Yr 3'!#REF!</definedName>
    <definedName name="ReqSal" localSheetId="4">'Personnel Yr 4'!#REF!</definedName>
    <definedName name="ReqSal" localSheetId="5">'Personnel Yr 5'!#REF!</definedName>
    <definedName name="Roles" localSheetId="0">'[1]Drop Choices'!$L$2:$L$7</definedName>
    <definedName name="Roles">'Drop Choices'!$L$2:$L$7</definedName>
    <definedName name="TuitionDesc" localSheetId="0">'[1]Drop Choices'!$O$2:$O$5</definedName>
    <definedName name="TuitionDesc">'Drop Choices'!$O$2:$O$6</definedName>
    <definedName name="TuitionRate">'Drop Choices'!$N$2:$N$6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6" i="13" l="1"/>
  <c r="A158" i="13"/>
  <c r="A159" i="13"/>
  <c r="B2" i="13"/>
  <c r="B3" i="13" l="1"/>
  <c r="A157" i="13"/>
  <c r="A119" i="13" l="1"/>
  <c r="H45" i="12" l="1"/>
  <c r="I45" i="12"/>
  <c r="J45" i="12"/>
  <c r="K45" i="12"/>
  <c r="H46" i="12"/>
  <c r="I46" i="12"/>
  <c r="J46" i="12"/>
  <c r="K46" i="12"/>
  <c r="H47" i="12"/>
  <c r="I47" i="12"/>
  <c r="J47" i="12"/>
  <c r="K47" i="12"/>
  <c r="H48" i="12"/>
  <c r="I48" i="12"/>
  <c r="J48" i="12"/>
  <c r="K48" i="12"/>
  <c r="H49" i="12"/>
  <c r="I49" i="12"/>
  <c r="J49" i="12"/>
  <c r="K49" i="12"/>
  <c r="H50" i="12"/>
  <c r="I50" i="12"/>
  <c r="J50" i="12"/>
  <c r="K50" i="12"/>
  <c r="H51" i="12"/>
  <c r="I51" i="12"/>
  <c r="J51" i="12"/>
  <c r="K51" i="12"/>
  <c r="H52" i="12"/>
  <c r="I52" i="12"/>
  <c r="J52" i="12"/>
  <c r="K52" i="12"/>
  <c r="H53" i="12"/>
  <c r="I53" i="12"/>
  <c r="J53" i="12"/>
  <c r="K53" i="12"/>
  <c r="H54" i="12"/>
  <c r="I54" i="12"/>
  <c r="J54" i="12"/>
  <c r="K54" i="12"/>
  <c r="H55" i="12"/>
  <c r="I55" i="12"/>
  <c r="J55" i="12"/>
  <c r="K55" i="12"/>
  <c r="H56" i="12"/>
  <c r="I56" i="12"/>
  <c r="J56" i="12"/>
  <c r="K56" i="12"/>
  <c r="H57" i="12"/>
  <c r="I57" i="12"/>
  <c r="J57" i="12"/>
  <c r="K57" i="12"/>
  <c r="H58" i="12"/>
  <c r="I58" i="12"/>
  <c r="J58" i="12"/>
  <c r="K58" i="12"/>
  <c r="J44" i="12"/>
  <c r="K44" i="12"/>
  <c r="I8" i="12"/>
  <c r="J8" i="12"/>
  <c r="K8" i="12"/>
  <c r="I9" i="12"/>
  <c r="J9" i="12"/>
  <c r="K9" i="12"/>
  <c r="I10" i="12"/>
  <c r="J10" i="12"/>
  <c r="K10" i="12"/>
  <c r="I11" i="12"/>
  <c r="J11" i="12"/>
  <c r="K11" i="12"/>
  <c r="I12" i="12"/>
  <c r="J12" i="12"/>
  <c r="K12" i="12"/>
  <c r="I13" i="12"/>
  <c r="J13" i="12"/>
  <c r="K13" i="12"/>
  <c r="I14" i="12"/>
  <c r="J14" i="12"/>
  <c r="K14" i="12"/>
  <c r="J7" i="12"/>
  <c r="K7" i="12"/>
  <c r="H8" i="12"/>
  <c r="H9" i="12"/>
  <c r="H10" i="12"/>
  <c r="H11" i="12"/>
  <c r="H12" i="12"/>
  <c r="H13" i="12"/>
  <c r="H14" i="12"/>
  <c r="I45" i="11"/>
  <c r="J45" i="11"/>
  <c r="K45" i="11"/>
  <c r="I46" i="11"/>
  <c r="J46" i="11"/>
  <c r="K46" i="11"/>
  <c r="I47" i="11"/>
  <c r="J47" i="11"/>
  <c r="K47" i="11"/>
  <c r="I48" i="11"/>
  <c r="J48" i="11"/>
  <c r="K48" i="11"/>
  <c r="I49" i="11"/>
  <c r="J49" i="11"/>
  <c r="K49" i="11"/>
  <c r="I50" i="11"/>
  <c r="J50" i="11"/>
  <c r="K50" i="11"/>
  <c r="I51" i="11"/>
  <c r="J51" i="11"/>
  <c r="K51" i="11"/>
  <c r="I52" i="11"/>
  <c r="J52" i="11"/>
  <c r="K52" i="11"/>
  <c r="I53" i="11"/>
  <c r="J53" i="11"/>
  <c r="K53" i="11"/>
  <c r="I54" i="11"/>
  <c r="J54" i="11"/>
  <c r="K54" i="11"/>
  <c r="I55" i="11"/>
  <c r="J55" i="11"/>
  <c r="K55" i="11"/>
  <c r="I56" i="11"/>
  <c r="J56" i="11"/>
  <c r="K56" i="11"/>
  <c r="I57" i="11"/>
  <c r="J57" i="11"/>
  <c r="K57" i="11"/>
  <c r="I58" i="11"/>
  <c r="J58" i="11"/>
  <c r="K58" i="11"/>
  <c r="J44" i="11"/>
  <c r="K44" i="11"/>
  <c r="H45" i="11"/>
  <c r="H46" i="11"/>
  <c r="H47" i="11"/>
  <c r="H48" i="11"/>
  <c r="H49" i="11"/>
  <c r="H50" i="11"/>
  <c r="H51" i="11"/>
  <c r="H52" i="11"/>
  <c r="H53" i="11"/>
  <c r="H54" i="11"/>
  <c r="H55" i="11"/>
  <c r="H56" i="11"/>
  <c r="H57" i="11"/>
  <c r="H58" i="11"/>
  <c r="I8" i="11"/>
  <c r="J8" i="11"/>
  <c r="K8" i="11"/>
  <c r="I9" i="11"/>
  <c r="J9" i="11"/>
  <c r="K9" i="11"/>
  <c r="I10" i="11"/>
  <c r="J10" i="11"/>
  <c r="K10" i="11"/>
  <c r="I11" i="11"/>
  <c r="J11" i="11"/>
  <c r="K11" i="11"/>
  <c r="I12" i="11"/>
  <c r="J12" i="11"/>
  <c r="K12" i="11"/>
  <c r="I13" i="11"/>
  <c r="J13" i="11"/>
  <c r="K13" i="11"/>
  <c r="I14" i="11"/>
  <c r="J14" i="11"/>
  <c r="K14" i="11"/>
  <c r="J7" i="11"/>
  <c r="K7" i="11"/>
  <c r="H8" i="11"/>
  <c r="H9" i="11"/>
  <c r="H10" i="11"/>
  <c r="H11" i="11"/>
  <c r="H12" i="11"/>
  <c r="H13" i="11"/>
  <c r="H14" i="11"/>
  <c r="I45" i="10"/>
  <c r="J45" i="10"/>
  <c r="K45" i="10"/>
  <c r="I46" i="10"/>
  <c r="J46" i="10"/>
  <c r="K46" i="10"/>
  <c r="I47" i="10"/>
  <c r="J47" i="10"/>
  <c r="K47" i="10"/>
  <c r="I48" i="10"/>
  <c r="J48" i="10"/>
  <c r="K48" i="10"/>
  <c r="I49" i="10"/>
  <c r="J49" i="10"/>
  <c r="K49" i="10"/>
  <c r="I50" i="10"/>
  <c r="J50" i="10"/>
  <c r="K50" i="10"/>
  <c r="I51" i="10"/>
  <c r="J51" i="10"/>
  <c r="K51" i="10"/>
  <c r="I52" i="10"/>
  <c r="J52" i="10"/>
  <c r="K52" i="10"/>
  <c r="I53" i="10"/>
  <c r="J53" i="10"/>
  <c r="K53" i="10"/>
  <c r="I54" i="10"/>
  <c r="J54" i="10"/>
  <c r="K54" i="10"/>
  <c r="I55" i="10"/>
  <c r="J55" i="10"/>
  <c r="K55" i="10"/>
  <c r="I56" i="10"/>
  <c r="J56" i="10"/>
  <c r="K56" i="10"/>
  <c r="I57" i="10"/>
  <c r="J57" i="10"/>
  <c r="K57" i="10"/>
  <c r="I58" i="10"/>
  <c r="J58" i="10"/>
  <c r="K58" i="10"/>
  <c r="J44" i="10"/>
  <c r="K44" i="10"/>
  <c r="H45" i="10"/>
  <c r="H46" i="10"/>
  <c r="H47" i="10"/>
  <c r="H48" i="10"/>
  <c r="H49" i="10"/>
  <c r="H50" i="10"/>
  <c r="H51" i="10"/>
  <c r="H52" i="10"/>
  <c r="H53" i="10"/>
  <c r="H54" i="10"/>
  <c r="H55" i="10"/>
  <c r="H56" i="10"/>
  <c r="H57" i="10"/>
  <c r="H58" i="10"/>
  <c r="I8" i="10"/>
  <c r="J8" i="10"/>
  <c r="K8" i="10"/>
  <c r="I9" i="10"/>
  <c r="J9" i="10"/>
  <c r="K9" i="10"/>
  <c r="I10" i="10"/>
  <c r="J10" i="10"/>
  <c r="K10" i="10"/>
  <c r="I11" i="10"/>
  <c r="J11" i="10"/>
  <c r="K11" i="10"/>
  <c r="I12" i="10"/>
  <c r="J12" i="10"/>
  <c r="K12" i="10"/>
  <c r="I13" i="10"/>
  <c r="J13" i="10"/>
  <c r="K13" i="10"/>
  <c r="I14" i="10"/>
  <c r="J14" i="10"/>
  <c r="K14" i="10"/>
  <c r="J7" i="10"/>
  <c r="K7" i="10"/>
  <c r="H8" i="10"/>
  <c r="H9" i="10"/>
  <c r="H10" i="10"/>
  <c r="H11" i="10"/>
  <c r="H12" i="10"/>
  <c r="H13" i="10"/>
  <c r="H14" i="10"/>
  <c r="H45" i="9"/>
  <c r="I45" i="9" s="1"/>
  <c r="H46" i="9"/>
  <c r="J46" i="9" s="1"/>
  <c r="H47" i="9"/>
  <c r="K47" i="9" s="1"/>
  <c r="H48" i="9"/>
  <c r="I48" i="9" s="1"/>
  <c r="H49" i="9"/>
  <c r="I49" i="9" s="1"/>
  <c r="H50" i="9"/>
  <c r="J50" i="9" s="1"/>
  <c r="H51" i="9"/>
  <c r="K51" i="9" s="1"/>
  <c r="H52" i="9"/>
  <c r="K52" i="9" s="1"/>
  <c r="H53" i="9"/>
  <c r="I53" i="9" s="1"/>
  <c r="H54" i="9"/>
  <c r="J54" i="9" s="1"/>
  <c r="H55" i="9"/>
  <c r="K55" i="9" s="1"/>
  <c r="H56" i="9"/>
  <c r="I56" i="9" s="1"/>
  <c r="H57" i="9"/>
  <c r="I57" i="9" s="1"/>
  <c r="H58" i="9"/>
  <c r="J58" i="9" s="1"/>
  <c r="J47" i="9" l="1"/>
  <c r="I54" i="9"/>
  <c r="J51" i="9"/>
  <c r="I50" i="9"/>
  <c r="J55" i="9"/>
  <c r="I58" i="9"/>
  <c r="I46" i="9"/>
  <c r="K48" i="9"/>
  <c r="K57" i="9"/>
  <c r="J56" i="9"/>
  <c r="I55" i="9"/>
  <c r="K53" i="9"/>
  <c r="J52" i="9"/>
  <c r="I51" i="9"/>
  <c r="K49" i="9"/>
  <c r="J48" i="9"/>
  <c r="I47" i="9"/>
  <c r="K45" i="9"/>
  <c r="K56" i="9"/>
  <c r="K58" i="9"/>
  <c r="J57" i="9"/>
  <c r="K54" i="9"/>
  <c r="J53" i="9"/>
  <c r="I52" i="9"/>
  <c r="K50" i="9"/>
  <c r="J49" i="9"/>
  <c r="K46" i="9"/>
  <c r="J45" i="9"/>
  <c r="H7" i="10"/>
  <c r="H7" i="9"/>
  <c r="K7" i="9" l="1"/>
  <c r="J7" i="9"/>
  <c r="I7" i="9"/>
  <c r="I7" i="10"/>
  <c r="H7" i="11"/>
  <c r="H44" i="9"/>
  <c r="H8" i="9"/>
  <c r="H9" i="9"/>
  <c r="H10" i="9"/>
  <c r="H11" i="9"/>
  <c r="H12" i="9"/>
  <c r="H13" i="9"/>
  <c r="H14" i="9"/>
  <c r="H23" i="9"/>
  <c r="L23" i="9"/>
  <c r="J93" i="2"/>
  <c r="H93" i="2"/>
  <c r="I13" i="9" l="1"/>
  <c r="J13" i="9"/>
  <c r="K13" i="9"/>
  <c r="K8" i="9"/>
  <c r="J8" i="9"/>
  <c r="I8" i="9"/>
  <c r="J11" i="9"/>
  <c r="I11" i="9"/>
  <c r="K11" i="9"/>
  <c r="J44" i="9"/>
  <c r="K44" i="9"/>
  <c r="K9" i="9"/>
  <c r="I9" i="9"/>
  <c r="J9" i="9"/>
  <c r="K12" i="9"/>
  <c r="J12" i="9"/>
  <c r="I12" i="9"/>
  <c r="I14" i="9"/>
  <c r="J14" i="9"/>
  <c r="K14" i="9"/>
  <c r="I10" i="9"/>
  <c r="J10" i="9"/>
  <c r="K10" i="9"/>
  <c r="I7" i="11"/>
  <c r="H7" i="12"/>
  <c r="H44" i="10"/>
  <c r="I44" i="9"/>
  <c r="I7" i="12" l="1"/>
  <c r="H44" i="11"/>
  <c r="H44" i="12" s="1"/>
  <c r="I44" i="10"/>
  <c r="H71" i="2"/>
  <c r="I71" i="2"/>
  <c r="H73" i="2"/>
  <c r="I73" i="2"/>
  <c r="H75" i="2"/>
  <c r="I75" i="2"/>
  <c r="H77" i="2"/>
  <c r="I77" i="2"/>
  <c r="H79" i="2"/>
  <c r="I79" i="2"/>
  <c r="H81" i="2"/>
  <c r="I81" i="2"/>
  <c r="H83" i="2"/>
  <c r="I83" i="2"/>
  <c r="H85" i="2"/>
  <c r="I85" i="2"/>
  <c r="H87" i="2"/>
  <c r="I87" i="2"/>
  <c r="R70" i="2"/>
  <c r="J71" i="2"/>
  <c r="K71" i="2"/>
  <c r="L71" i="2"/>
  <c r="M71" i="2"/>
  <c r="N71" i="2"/>
  <c r="O71" i="2"/>
  <c r="P71" i="2"/>
  <c r="Q71" i="2"/>
  <c r="R72" i="2"/>
  <c r="J73" i="2"/>
  <c r="K73" i="2"/>
  <c r="L73" i="2"/>
  <c r="M73" i="2"/>
  <c r="N73" i="2"/>
  <c r="O73" i="2"/>
  <c r="P73" i="2"/>
  <c r="Q73" i="2"/>
  <c r="R74" i="2"/>
  <c r="J75" i="2"/>
  <c r="K75" i="2"/>
  <c r="L75" i="2"/>
  <c r="M75" i="2"/>
  <c r="N75" i="2"/>
  <c r="O75" i="2"/>
  <c r="P75" i="2"/>
  <c r="Q75" i="2"/>
  <c r="R76" i="2"/>
  <c r="S76" i="2"/>
  <c r="J77" i="2"/>
  <c r="K77" i="2"/>
  <c r="L77" i="2"/>
  <c r="M77" i="2"/>
  <c r="N77" i="2"/>
  <c r="O77" i="2"/>
  <c r="P77" i="2"/>
  <c r="Q77" i="2"/>
  <c r="R78" i="2"/>
  <c r="S78" i="2"/>
  <c r="J79" i="2"/>
  <c r="K79" i="2"/>
  <c r="L79" i="2"/>
  <c r="M79" i="2"/>
  <c r="N79" i="2"/>
  <c r="O79" i="2"/>
  <c r="P79" i="2"/>
  <c r="Q79" i="2"/>
  <c r="R80" i="2"/>
  <c r="S80" i="2"/>
  <c r="J81" i="2"/>
  <c r="K81" i="2"/>
  <c r="L81" i="2"/>
  <c r="M81" i="2"/>
  <c r="N81" i="2"/>
  <c r="O81" i="2"/>
  <c r="P81" i="2"/>
  <c r="Q81" i="2"/>
  <c r="R82" i="2"/>
  <c r="S82" i="2"/>
  <c r="J83" i="2"/>
  <c r="K83" i="2"/>
  <c r="L83" i="2"/>
  <c r="M83" i="2"/>
  <c r="N83" i="2"/>
  <c r="O83" i="2"/>
  <c r="P83" i="2"/>
  <c r="Q83" i="2"/>
  <c r="R84" i="2"/>
  <c r="S84" i="2"/>
  <c r="J85" i="2"/>
  <c r="K85" i="2"/>
  <c r="L85" i="2"/>
  <c r="M85" i="2"/>
  <c r="N85" i="2"/>
  <c r="O85" i="2"/>
  <c r="P85" i="2"/>
  <c r="Q85" i="2"/>
  <c r="R86" i="2"/>
  <c r="S86" i="2"/>
  <c r="J87" i="2"/>
  <c r="K87" i="2"/>
  <c r="L87" i="2"/>
  <c r="M87" i="2"/>
  <c r="N87" i="2"/>
  <c r="O87" i="2"/>
  <c r="P87" i="2"/>
  <c r="Q87" i="2"/>
  <c r="R88" i="2"/>
  <c r="S88" i="2"/>
  <c r="H89" i="2"/>
  <c r="I89" i="2"/>
  <c r="J89" i="2"/>
  <c r="K89" i="2"/>
  <c r="L89" i="2"/>
  <c r="M89" i="2"/>
  <c r="N89" i="2"/>
  <c r="O89" i="2"/>
  <c r="P89" i="2"/>
  <c r="Q89" i="2"/>
  <c r="H90" i="2"/>
  <c r="J90" i="2"/>
  <c r="L90" i="2"/>
  <c r="M90" i="2"/>
  <c r="N90" i="2"/>
  <c r="O90" i="2"/>
  <c r="P90" i="2"/>
  <c r="Q90" i="2"/>
  <c r="C138" i="13"/>
  <c r="L7" i="1"/>
  <c r="G199" i="13"/>
  <c r="F199" i="13"/>
  <c r="E199" i="13"/>
  <c r="D199" i="13"/>
  <c r="C199" i="13"/>
  <c r="G197" i="13"/>
  <c r="F197" i="13"/>
  <c r="E197" i="13"/>
  <c r="D197" i="13"/>
  <c r="C197" i="13"/>
  <c r="G195" i="13"/>
  <c r="F195" i="13"/>
  <c r="E195" i="13"/>
  <c r="D195" i="13"/>
  <c r="C195" i="13"/>
  <c r="G193" i="13"/>
  <c r="F193" i="13"/>
  <c r="E193" i="13"/>
  <c r="D193" i="13"/>
  <c r="C193" i="13"/>
  <c r="G191" i="13"/>
  <c r="F191" i="13"/>
  <c r="E191" i="13"/>
  <c r="D191" i="13"/>
  <c r="C191" i="13"/>
  <c r="G189" i="13"/>
  <c r="F189" i="13"/>
  <c r="E189" i="13"/>
  <c r="D189" i="13"/>
  <c r="C189" i="13"/>
  <c r="G187" i="13"/>
  <c r="F187" i="13"/>
  <c r="E187" i="13"/>
  <c r="D187" i="13"/>
  <c r="C187" i="13"/>
  <c r="G185" i="13"/>
  <c r="F185" i="13"/>
  <c r="E185" i="13"/>
  <c r="D185" i="13"/>
  <c r="C185" i="13"/>
  <c r="G183" i="13"/>
  <c r="F183" i="13"/>
  <c r="E183" i="13"/>
  <c r="D183" i="13"/>
  <c r="C183" i="13"/>
  <c r="G181" i="13"/>
  <c r="F181" i="13"/>
  <c r="E181" i="13"/>
  <c r="D181" i="13"/>
  <c r="C181" i="13"/>
  <c r="R90" i="2" l="1"/>
  <c r="I44" i="11"/>
  <c r="R77" i="2"/>
  <c r="R71" i="2"/>
  <c r="R85" i="2"/>
  <c r="R75" i="2"/>
  <c r="R73" i="2"/>
  <c r="R89" i="2"/>
  <c r="R87" i="2"/>
  <c r="R83" i="2"/>
  <c r="R81" i="2"/>
  <c r="R79" i="2"/>
  <c r="N91" i="2"/>
  <c r="J91" i="2"/>
  <c r="P91" i="2"/>
  <c r="L91" i="2"/>
  <c r="H91" i="2"/>
  <c r="H183" i="13"/>
  <c r="H185" i="13"/>
  <c r="H181" i="13"/>
  <c r="I44" i="12" l="1"/>
  <c r="R91" i="2"/>
  <c r="B22" i="24" l="1"/>
  <c r="AB13" i="23"/>
  <c r="AB14" i="23"/>
  <c r="AB15" i="23"/>
  <c r="AB16" i="23"/>
  <c r="AB17" i="23"/>
  <c r="AB18" i="23"/>
  <c r="AB19" i="23"/>
  <c r="AB20" i="23"/>
  <c r="AB21" i="23"/>
  <c r="AB22" i="23"/>
  <c r="AB23" i="23"/>
  <c r="AB24" i="23"/>
  <c r="AB25" i="23"/>
  <c r="AB26" i="23"/>
  <c r="AB12" i="23"/>
  <c r="AB5" i="23"/>
  <c r="AB6" i="23"/>
  <c r="AB7" i="23"/>
  <c r="AB8" i="23"/>
  <c r="AB9" i="23"/>
  <c r="AB10" i="23"/>
  <c r="AB11" i="23"/>
  <c r="AB4" i="23"/>
  <c r="N5" i="9"/>
  <c r="N5" i="10" s="1"/>
  <c r="N5" i="11" s="1"/>
  <c r="N5" i="12" s="1"/>
  <c r="Z45" i="1"/>
  <c r="Z46" i="1"/>
  <c r="Z47" i="1"/>
  <c r="Z48" i="1"/>
  <c r="Z49" i="1"/>
  <c r="Z50" i="1"/>
  <c r="Z51" i="1"/>
  <c r="Z52" i="1"/>
  <c r="Z53" i="1"/>
  <c r="Z54" i="1"/>
  <c r="Z55" i="1"/>
  <c r="Z56" i="1"/>
  <c r="Z57" i="1"/>
  <c r="Z58" i="1"/>
  <c r="Z44" i="1"/>
  <c r="Y8" i="1"/>
  <c r="Z8" i="1"/>
  <c r="Y9" i="1"/>
  <c r="Z9" i="1"/>
  <c r="Y10" i="1"/>
  <c r="Z10" i="1"/>
  <c r="Y11" i="1"/>
  <c r="Z11" i="1"/>
  <c r="Y12" i="1"/>
  <c r="Z12" i="1"/>
  <c r="Y13" i="1"/>
  <c r="Z13" i="1"/>
  <c r="Y14" i="1"/>
  <c r="Z14" i="1"/>
  <c r="Z7" i="1"/>
  <c r="Y7" i="1"/>
  <c r="Y58" i="1" l="1"/>
  <c r="Y45" i="1"/>
  <c r="Y46" i="1"/>
  <c r="Y47" i="1"/>
  <c r="Y48" i="1"/>
  <c r="Y49" i="1"/>
  <c r="Y50" i="1"/>
  <c r="Y51" i="1"/>
  <c r="Y52" i="1"/>
  <c r="Y53" i="1"/>
  <c r="Y54" i="1"/>
  <c r="Y55" i="1"/>
  <c r="Y56" i="1"/>
  <c r="Y57" i="1"/>
  <c r="Y44" i="1"/>
  <c r="L45" i="1"/>
  <c r="L46" i="1"/>
  <c r="L47" i="1"/>
  <c r="L48" i="1"/>
  <c r="L49" i="1"/>
  <c r="L50" i="1"/>
  <c r="L51" i="1"/>
  <c r="L52" i="1"/>
  <c r="L53" i="1"/>
  <c r="L54" i="1"/>
  <c r="L55" i="1"/>
  <c r="L56" i="1"/>
  <c r="L57" i="1"/>
  <c r="L58" i="1"/>
  <c r="L44" i="1"/>
  <c r="L8" i="1"/>
  <c r="L9" i="1"/>
  <c r="L10" i="1"/>
  <c r="L11" i="1"/>
  <c r="L12" i="1"/>
  <c r="L13" i="1"/>
  <c r="L14" i="1"/>
  <c r="B29" i="1" l="1"/>
  <c r="H12" i="23" l="1"/>
  <c r="G12" i="23"/>
  <c r="F12" i="23"/>
  <c r="E12" i="23"/>
  <c r="D12" i="23"/>
  <c r="D11" i="23"/>
  <c r="I2" i="23"/>
  <c r="F2" i="23"/>
  <c r="C2" i="23"/>
  <c r="B44" i="9" l="1"/>
  <c r="C44" i="9"/>
  <c r="D44" i="9"/>
  <c r="E44" i="9"/>
  <c r="F44" i="9"/>
  <c r="G44" i="9"/>
  <c r="B45" i="9"/>
  <c r="C45" i="9"/>
  <c r="D45" i="9"/>
  <c r="E45" i="9"/>
  <c r="F45" i="9"/>
  <c r="G45" i="9"/>
  <c r="B46" i="9"/>
  <c r="C46" i="9"/>
  <c r="D46" i="9"/>
  <c r="E46" i="9"/>
  <c r="F46" i="9"/>
  <c r="G46" i="9"/>
  <c r="B47" i="9"/>
  <c r="C47" i="9"/>
  <c r="D47" i="9"/>
  <c r="E47" i="9"/>
  <c r="F47" i="9"/>
  <c r="G47" i="9"/>
  <c r="B48" i="9"/>
  <c r="C48" i="9"/>
  <c r="D48" i="9"/>
  <c r="E48" i="9"/>
  <c r="F48" i="9"/>
  <c r="G48" i="9"/>
  <c r="B49" i="9"/>
  <c r="C49" i="9"/>
  <c r="D49" i="9"/>
  <c r="E49" i="9"/>
  <c r="F49" i="9"/>
  <c r="G49" i="9"/>
  <c r="B50" i="9"/>
  <c r="C50" i="9"/>
  <c r="D50" i="9"/>
  <c r="E50" i="9"/>
  <c r="F50" i="9"/>
  <c r="G50" i="9"/>
  <c r="B51" i="9"/>
  <c r="C51" i="9"/>
  <c r="D51" i="9"/>
  <c r="E51" i="9"/>
  <c r="F51" i="9"/>
  <c r="G51" i="9"/>
  <c r="B52" i="9"/>
  <c r="C52" i="9"/>
  <c r="D52" i="9"/>
  <c r="E52" i="9"/>
  <c r="F52" i="9"/>
  <c r="G52" i="9"/>
  <c r="B53" i="9"/>
  <c r="C53" i="9"/>
  <c r="D53" i="9"/>
  <c r="E53" i="9"/>
  <c r="F53" i="9"/>
  <c r="G53" i="9"/>
  <c r="B54" i="9"/>
  <c r="C54" i="9"/>
  <c r="D54" i="9"/>
  <c r="E54" i="9"/>
  <c r="F54" i="9"/>
  <c r="G54" i="9"/>
  <c r="B55" i="9"/>
  <c r="C55" i="9"/>
  <c r="D55" i="9"/>
  <c r="E55" i="9"/>
  <c r="F55" i="9"/>
  <c r="G55" i="9"/>
  <c r="B56" i="9"/>
  <c r="C56" i="9"/>
  <c r="D56" i="9"/>
  <c r="E56" i="9"/>
  <c r="F56" i="9"/>
  <c r="G56" i="9"/>
  <c r="B57" i="9"/>
  <c r="C57" i="9"/>
  <c r="D57" i="9"/>
  <c r="E57" i="9"/>
  <c r="F57" i="9"/>
  <c r="G57" i="9"/>
  <c r="B58" i="9"/>
  <c r="C58" i="9"/>
  <c r="D58" i="9"/>
  <c r="E58" i="9"/>
  <c r="F58" i="9"/>
  <c r="G58" i="9"/>
  <c r="C2" i="22"/>
  <c r="I2" i="22"/>
  <c r="F2" i="22"/>
  <c r="E12" i="22"/>
  <c r="G12" i="22"/>
  <c r="H12" i="22"/>
  <c r="F12" i="22"/>
  <c r="D12" i="22"/>
  <c r="D11" i="22"/>
  <c r="Q7" i="1"/>
  <c r="R7" i="1"/>
  <c r="S7" i="1"/>
  <c r="Y52" i="9" l="1"/>
  <c r="B59" i="9"/>
  <c r="L49" i="9"/>
  <c r="L52" i="9"/>
  <c r="L56" i="9"/>
  <c r="L48" i="9"/>
  <c r="L44" i="9"/>
  <c r="Y56" i="9" l="1"/>
  <c r="AC17" i="23"/>
  <c r="AC15" i="23"/>
  <c r="L58" i="9"/>
  <c r="AC22" i="23"/>
  <c r="AC24" i="23"/>
  <c r="AC21" i="23"/>
  <c r="AC19" i="23"/>
  <c r="AC16" i="23"/>
  <c r="AC23" i="23"/>
  <c r="AC18" i="23"/>
  <c r="AC12" i="23"/>
  <c r="AC13" i="23"/>
  <c r="AC20" i="23"/>
  <c r="AC26" i="23"/>
  <c r="Y48" i="9"/>
  <c r="Y51" i="9"/>
  <c r="Y53" i="9"/>
  <c r="Y58" i="9"/>
  <c r="Y55" i="9"/>
  <c r="Y44" i="9"/>
  <c r="Y54" i="9"/>
  <c r="Y45" i="9"/>
  <c r="Y50" i="9"/>
  <c r="Y49" i="9"/>
  <c r="Y47" i="9"/>
  <c r="L53" i="9"/>
  <c r="L47" i="9"/>
  <c r="L55" i="9"/>
  <c r="L50" i="9"/>
  <c r="L57" i="9"/>
  <c r="L54" i="9"/>
  <c r="L51" i="9"/>
  <c r="L45" i="9"/>
  <c r="AC25" i="23" l="1"/>
  <c r="L46" i="9"/>
  <c r="AC14" i="23"/>
  <c r="Y46" i="9"/>
  <c r="Y57" i="9"/>
  <c r="H8" i="23"/>
  <c r="H19" i="23"/>
  <c r="G19" i="23"/>
  <c r="E19" i="23"/>
  <c r="F8" i="22" l="1"/>
  <c r="F8" i="23"/>
  <c r="F182" i="13"/>
  <c r="C182" i="13"/>
  <c r="G182" i="13"/>
  <c r="D182" i="13"/>
  <c r="F19" i="22"/>
  <c r="F19" i="23"/>
  <c r="E182" i="13"/>
  <c r="G8" i="22"/>
  <c r="G8" i="23"/>
  <c r="F184" i="13"/>
  <c r="D188" i="13"/>
  <c r="F186" i="13"/>
  <c r="D190" i="13"/>
  <c r="D192" i="13"/>
  <c r="F194" i="13"/>
  <c r="D196" i="13"/>
  <c r="D198" i="13"/>
  <c r="D200" i="13"/>
  <c r="F200" i="13"/>
  <c r="G186" i="13"/>
  <c r="E188" i="13"/>
  <c r="G188" i="13"/>
  <c r="E190" i="13"/>
  <c r="C192" i="13"/>
  <c r="G192" i="13"/>
  <c r="E194" i="13"/>
  <c r="G194" i="13"/>
  <c r="E196" i="13"/>
  <c r="G196" i="13"/>
  <c r="C198" i="13"/>
  <c r="E198" i="13"/>
  <c r="G198" i="13"/>
  <c r="C200" i="13"/>
  <c r="E200" i="13"/>
  <c r="G200" i="13"/>
  <c r="D184" i="13"/>
  <c r="D186" i="13"/>
  <c r="F188" i="13"/>
  <c r="F190" i="13"/>
  <c r="F192" i="13"/>
  <c r="D194" i="13"/>
  <c r="F196" i="13"/>
  <c r="F198" i="13"/>
  <c r="C184" i="13"/>
  <c r="E184" i="13"/>
  <c r="G184" i="13"/>
  <c r="C186" i="13"/>
  <c r="E186" i="13"/>
  <c r="C188" i="13"/>
  <c r="C190" i="13"/>
  <c r="G190" i="13"/>
  <c r="E192" i="13"/>
  <c r="C194" i="13"/>
  <c r="C196" i="13"/>
  <c r="D8" i="22"/>
  <c r="D8" i="23"/>
  <c r="D19" i="22"/>
  <c r="D19" i="23"/>
  <c r="E8" i="22"/>
  <c r="E8" i="23"/>
  <c r="J38" i="2"/>
  <c r="N38" i="2"/>
  <c r="H19" i="22"/>
  <c r="L38" i="2"/>
  <c r="H8" i="22"/>
  <c r="E19" i="22"/>
  <c r="G19" i="22"/>
  <c r="H38" i="2"/>
  <c r="P38" i="2"/>
  <c r="I8" i="23" l="1"/>
  <c r="I8" i="22"/>
  <c r="I19" i="23"/>
  <c r="H182" i="13"/>
  <c r="H184" i="13"/>
  <c r="I19" i="22"/>
  <c r="A72" i="17"/>
  <c r="B72" i="17"/>
  <c r="A73" i="17"/>
  <c r="B73" i="17"/>
  <c r="A71" i="17"/>
  <c r="B71" i="17"/>
  <c r="B70" i="17"/>
  <c r="A70" i="17"/>
  <c r="B37" i="17" l="1"/>
  <c r="B38" i="17"/>
  <c r="A38" i="17"/>
  <c r="A37" i="17"/>
  <c r="C154" i="13"/>
  <c r="B33" i="24" s="1"/>
  <c r="D154" i="13"/>
  <c r="C33" i="24" s="1"/>
  <c r="E154" i="13"/>
  <c r="D33" i="24" s="1"/>
  <c r="F154" i="13"/>
  <c r="E33" i="24" s="1"/>
  <c r="G154" i="13"/>
  <c r="F33" i="24" s="1"/>
  <c r="C155" i="13"/>
  <c r="B34" i="24" s="1"/>
  <c r="D155" i="13"/>
  <c r="C34" i="24" s="1"/>
  <c r="E155" i="13"/>
  <c r="D34" i="24" s="1"/>
  <c r="F155" i="13"/>
  <c r="E34" i="24" s="1"/>
  <c r="G155" i="13"/>
  <c r="F34" i="24" s="1"/>
  <c r="M27" i="1"/>
  <c r="L27" i="9"/>
  <c r="M27" i="9" s="1"/>
  <c r="A120" i="13"/>
  <c r="M26" i="1"/>
  <c r="A121" i="13"/>
  <c r="M28" i="1"/>
  <c r="N28" i="1" s="1"/>
  <c r="C110" i="13"/>
  <c r="B14" i="24" s="1"/>
  <c r="C109" i="13"/>
  <c r="B13" i="24" s="1"/>
  <c r="H155" i="13" l="1"/>
  <c r="G34" i="24" s="1"/>
  <c r="H154" i="13"/>
  <c r="G33" i="24" s="1"/>
  <c r="N27" i="9"/>
  <c r="N27" i="1"/>
  <c r="L27" i="10"/>
  <c r="C121" i="13"/>
  <c r="R43" i="2"/>
  <c r="R42" i="2"/>
  <c r="L27" i="11" l="1"/>
  <c r="M27" i="10"/>
  <c r="N27" i="10" s="1"/>
  <c r="E109" i="13"/>
  <c r="D13" i="24" s="1"/>
  <c r="D109" i="13"/>
  <c r="C13" i="24" s="1"/>
  <c r="L28" i="9"/>
  <c r="F109" i="13" l="1"/>
  <c r="E13" i="24" s="1"/>
  <c r="L28" i="10"/>
  <c r="M27" i="11"/>
  <c r="N27" i="11" s="1"/>
  <c r="L27" i="12"/>
  <c r="D110" i="13"/>
  <c r="C14" i="24" s="1"/>
  <c r="M28" i="9"/>
  <c r="N28" i="9"/>
  <c r="B35" i="17"/>
  <c r="B36" i="17"/>
  <c r="B32" i="17"/>
  <c r="B33" i="17"/>
  <c r="B34" i="17"/>
  <c r="B31" i="17"/>
  <c r="B24" i="17"/>
  <c r="M28" i="10" l="1"/>
  <c r="L28" i="11"/>
  <c r="E110" i="13"/>
  <c r="D14" i="24" s="1"/>
  <c r="D121" i="13"/>
  <c r="M27" i="12"/>
  <c r="N27" i="12" s="1"/>
  <c r="G109" i="13"/>
  <c r="G157" i="13"/>
  <c r="F36" i="24" s="1"/>
  <c r="F157" i="13"/>
  <c r="E36" i="24" s="1"/>
  <c r="E157" i="13"/>
  <c r="D36" i="24" s="1"/>
  <c r="C157" i="13"/>
  <c r="B36" i="24" s="1"/>
  <c r="G156" i="13"/>
  <c r="F35" i="24" s="1"/>
  <c r="F156" i="13"/>
  <c r="E35" i="24" s="1"/>
  <c r="E156" i="13"/>
  <c r="D35" i="24" s="1"/>
  <c r="D156" i="13"/>
  <c r="C35" i="24" s="1"/>
  <c r="C156" i="13"/>
  <c r="R44" i="2"/>
  <c r="B35" i="24" l="1"/>
  <c r="N28" i="10"/>
  <c r="H109" i="13"/>
  <c r="G13" i="24" s="1"/>
  <c r="F13" i="24"/>
  <c r="E121" i="13"/>
  <c r="F110" i="13"/>
  <c r="E14" i="24" s="1"/>
  <c r="M28" i="11"/>
  <c r="F121" i="13" s="1"/>
  <c r="L28" i="12"/>
  <c r="H156" i="13"/>
  <c r="G35" i="24" s="1"/>
  <c r="B61" i="2"/>
  <c r="B60" i="2"/>
  <c r="B59" i="2"/>
  <c r="B58" i="2"/>
  <c r="N28" i="11" l="1"/>
  <c r="F11" i="23"/>
  <c r="F11" i="22"/>
  <c r="G11" i="23"/>
  <c r="G11" i="22"/>
  <c r="H11" i="23"/>
  <c r="H11" i="22"/>
  <c r="E11" i="23"/>
  <c r="E11" i="22"/>
  <c r="M28" i="12"/>
  <c r="G121" i="13" s="1"/>
  <c r="H121" i="13" s="1"/>
  <c r="G110" i="13"/>
  <c r="H25" i="18"/>
  <c r="H6" i="18"/>
  <c r="H7" i="18"/>
  <c r="H8" i="18"/>
  <c r="B42" i="18"/>
  <c r="B43" i="18"/>
  <c r="B44" i="18"/>
  <c r="B41" i="18"/>
  <c r="E12" i="18"/>
  <c r="G12" i="18"/>
  <c r="F12" i="18"/>
  <c r="D12" i="18"/>
  <c r="B29" i="18"/>
  <c r="B30" i="18"/>
  <c r="B31" i="18"/>
  <c r="B28" i="18"/>
  <c r="E23" i="18"/>
  <c r="F23" i="18"/>
  <c r="G23" i="18"/>
  <c r="E9" i="18"/>
  <c r="D9" i="18"/>
  <c r="H29" i="18"/>
  <c r="H30" i="18"/>
  <c r="H31" i="18"/>
  <c r="H28" i="18"/>
  <c r="F32" i="18"/>
  <c r="G32" i="18"/>
  <c r="E32" i="18"/>
  <c r="F45" i="18"/>
  <c r="G45" i="18"/>
  <c r="H45" i="18"/>
  <c r="E45" i="18"/>
  <c r="H32" i="18" l="1"/>
  <c r="N28" i="12"/>
  <c r="H110" i="13"/>
  <c r="G14" i="24" s="1"/>
  <c r="F14" i="24"/>
  <c r="A36" i="17" l="1"/>
  <c r="A35" i="17"/>
  <c r="A34" i="17"/>
  <c r="A33" i="17"/>
  <c r="A32" i="17"/>
  <c r="A31" i="17"/>
  <c r="A15" i="17"/>
  <c r="A16" i="17"/>
  <c r="A17" i="17"/>
  <c r="A18" i="17"/>
  <c r="A19" i="17"/>
  <c r="A20" i="17"/>
  <c r="A21" i="17"/>
  <c r="A22" i="17"/>
  <c r="A23" i="17"/>
  <c r="A24" i="17"/>
  <c r="A25" i="17"/>
  <c r="A26" i="17"/>
  <c r="A27" i="17"/>
  <c r="A28" i="17"/>
  <c r="A14" i="17"/>
  <c r="A5" i="17"/>
  <c r="A6" i="17"/>
  <c r="A7" i="17"/>
  <c r="A8" i="17"/>
  <c r="A9" i="17"/>
  <c r="A10" i="17"/>
  <c r="A11" i="17"/>
  <c r="A4" i="17"/>
  <c r="B79" i="17"/>
  <c r="B80" i="17"/>
  <c r="B81" i="17"/>
  <c r="B82" i="17"/>
  <c r="B78" i="17"/>
  <c r="A79" i="17"/>
  <c r="A80" i="17"/>
  <c r="A81" i="17"/>
  <c r="A82" i="17"/>
  <c r="A78" i="17"/>
  <c r="A77" i="17"/>
  <c r="B63" i="17"/>
  <c r="B64" i="17"/>
  <c r="B65" i="17"/>
  <c r="B66" i="17"/>
  <c r="B67" i="17"/>
  <c r="B68" i="17"/>
  <c r="B69" i="17"/>
  <c r="B74" i="17"/>
  <c r="B75" i="17"/>
  <c r="B62" i="17"/>
  <c r="A63" i="17"/>
  <c r="A64" i="17"/>
  <c r="A65" i="17"/>
  <c r="A66" i="17"/>
  <c r="A67" i="17"/>
  <c r="A68" i="17"/>
  <c r="A69" i="17"/>
  <c r="A74" i="17"/>
  <c r="A75" i="17"/>
  <c r="A62" i="17"/>
  <c r="A61" i="17"/>
  <c r="B59" i="17"/>
  <c r="B58" i="17"/>
  <c r="B57" i="17"/>
  <c r="B56" i="17"/>
  <c r="A57" i="17"/>
  <c r="A58" i="17"/>
  <c r="A59" i="17"/>
  <c r="A56" i="17"/>
  <c r="A53" i="17"/>
  <c r="A52" i="17"/>
  <c r="A42" i="17"/>
  <c r="A43" i="17"/>
  <c r="A44" i="17"/>
  <c r="A45" i="17"/>
  <c r="A46" i="17"/>
  <c r="A47" i="17"/>
  <c r="A48" i="17"/>
  <c r="A41" i="17"/>
  <c r="A55" i="17"/>
  <c r="B53" i="17"/>
  <c r="B52" i="17"/>
  <c r="A51" i="17"/>
  <c r="B42" i="17"/>
  <c r="B43" i="17"/>
  <c r="B44" i="17"/>
  <c r="B45" i="17"/>
  <c r="B46" i="17"/>
  <c r="B47" i="17"/>
  <c r="B48" i="17"/>
  <c r="B41" i="17"/>
  <c r="A40" i="17"/>
  <c r="A30" i="17"/>
  <c r="B15" i="17"/>
  <c r="B16" i="17"/>
  <c r="B17" i="17"/>
  <c r="B18" i="17"/>
  <c r="B19" i="17"/>
  <c r="B20" i="17"/>
  <c r="B21" i="17"/>
  <c r="B22" i="17"/>
  <c r="B23" i="17"/>
  <c r="B25" i="17"/>
  <c r="B26" i="17"/>
  <c r="B27" i="17"/>
  <c r="B28" i="17"/>
  <c r="B14" i="17"/>
  <c r="A13" i="17"/>
  <c r="B5" i="17"/>
  <c r="B6" i="17"/>
  <c r="B7" i="17"/>
  <c r="B8" i="17"/>
  <c r="B9" i="17"/>
  <c r="B10" i="17"/>
  <c r="B11" i="17"/>
  <c r="B4" i="17"/>
  <c r="A3" i="17"/>
  <c r="A199" i="13"/>
  <c r="A197" i="13"/>
  <c r="A195" i="13"/>
  <c r="A193" i="13"/>
  <c r="A191" i="13"/>
  <c r="A189" i="13"/>
  <c r="A187" i="13"/>
  <c r="A185" i="13"/>
  <c r="A183" i="13"/>
  <c r="A181" i="13"/>
  <c r="A371" i="13"/>
  <c r="A364" i="13"/>
  <c r="A357" i="13"/>
  <c r="A350" i="13"/>
  <c r="C340" i="13"/>
  <c r="C341" i="13" s="1"/>
  <c r="A343" i="13"/>
  <c r="A336" i="13"/>
  <c r="A329" i="13"/>
  <c r="A321" i="13"/>
  <c r="A314" i="13"/>
  <c r="A307" i="13"/>
  <c r="A300" i="13"/>
  <c r="A293" i="13"/>
  <c r="A286" i="13"/>
  <c r="A279" i="13"/>
  <c r="A272" i="13"/>
  <c r="A94" i="13"/>
  <c r="A87" i="13"/>
  <c r="A80" i="13"/>
  <c r="A73" i="13"/>
  <c r="A66" i="13"/>
  <c r="A59" i="13"/>
  <c r="A52" i="13"/>
  <c r="A45" i="13"/>
  <c r="A93" i="13"/>
  <c r="A328" i="13"/>
  <c r="A205" i="13"/>
  <c r="A209" i="13"/>
  <c r="A213" i="13"/>
  <c r="A217" i="13"/>
  <c r="A221" i="13"/>
  <c r="A225" i="13"/>
  <c r="A229" i="13"/>
  <c r="A233" i="13"/>
  <c r="A237" i="13"/>
  <c r="A241" i="13"/>
  <c r="A245" i="13"/>
  <c r="A249" i="13"/>
  <c r="A253" i="13"/>
  <c r="A257" i="13"/>
  <c r="A261" i="13"/>
  <c r="A342" i="13"/>
  <c r="C375" i="13"/>
  <c r="C376" i="13" s="1"/>
  <c r="C373" i="13"/>
  <c r="C374" i="13" s="1"/>
  <c r="C371" i="13"/>
  <c r="C372" i="13" s="1"/>
  <c r="C368" i="13"/>
  <c r="C369" i="13" s="1"/>
  <c r="C366" i="13"/>
  <c r="C367" i="13" s="1"/>
  <c r="C364" i="13"/>
  <c r="C365" i="13" s="1"/>
  <c r="C361" i="13"/>
  <c r="C362" i="13" s="1"/>
  <c r="C359" i="13"/>
  <c r="C360" i="13" s="1"/>
  <c r="C357" i="13"/>
  <c r="C358" i="13" s="1"/>
  <c r="C354" i="13"/>
  <c r="C355" i="13" s="1"/>
  <c r="C352" i="13"/>
  <c r="C353" i="13" s="1"/>
  <c r="C350" i="13"/>
  <c r="C351" i="13" s="1"/>
  <c r="C347" i="13"/>
  <c r="C348" i="13" s="1"/>
  <c r="C345" i="13"/>
  <c r="C346" i="13" s="1"/>
  <c r="C343" i="13"/>
  <c r="C344" i="13" s="1"/>
  <c r="C338" i="13"/>
  <c r="C339" i="13" s="1"/>
  <c r="C336" i="13"/>
  <c r="C337" i="13" s="1"/>
  <c r="C333" i="13"/>
  <c r="C334" i="13" s="1"/>
  <c r="C331" i="13"/>
  <c r="C332" i="13" s="1"/>
  <c r="C329" i="13"/>
  <c r="C330" i="13" s="1"/>
  <c r="A370" i="13"/>
  <c r="A363" i="13"/>
  <c r="A356" i="13"/>
  <c r="A349" i="13"/>
  <c r="A335" i="13"/>
  <c r="A320" i="13"/>
  <c r="A313" i="13"/>
  <c r="A306" i="13"/>
  <c r="A299" i="13"/>
  <c r="A292" i="13"/>
  <c r="A285" i="13"/>
  <c r="A278" i="13"/>
  <c r="A271" i="13"/>
  <c r="C325" i="13"/>
  <c r="C323" i="13"/>
  <c r="C324" i="13" s="1"/>
  <c r="C318" i="13"/>
  <c r="C319" i="13" s="1"/>
  <c r="C316" i="13"/>
  <c r="C317" i="13" s="1"/>
  <c r="C311" i="13"/>
  <c r="C312" i="13" s="1"/>
  <c r="C309" i="13"/>
  <c r="C310" i="13" s="1"/>
  <c r="C304" i="13"/>
  <c r="C305" i="13" s="1"/>
  <c r="C302" i="13"/>
  <c r="C303" i="13" s="1"/>
  <c r="C297" i="13"/>
  <c r="C298" i="13" s="1"/>
  <c r="C295" i="13"/>
  <c r="C296" i="13" s="1"/>
  <c r="C290" i="13"/>
  <c r="C291" i="13" s="1"/>
  <c r="C288" i="13"/>
  <c r="C289" i="13" s="1"/>
  <c r="C283" i="13"/>
  <c r="C284" i="13" s="1"/>
  <c r="C281" i="13"/>
  <c r="C282" i="13" s="1"/>
  <c r="C276" i="13"/>
  <c r="C277" i="13" s="1"/>
  <c r="C274" i="13"/>
  <c r="C275" i="13" s="1"/>
  <c r="C321" i="13"/>
  <c r="C322" i="13" s="1"/>
  <c r="C314" i="13"/>
  <c r="C315" i="13" s="1"/>
  <c r="C307" i="13"/>
  <c r="C308" i="13" s="1"/>
  <c r="C300" i="13"/>
  <c r="C301" i="13" s="1"/>
  <c r="C293" i="13"/>
  <c r="C294" i="13" s="1"/>
  <c r="C286" i="13"/>
  <c r="C287" i="13" s="1"/>
  <c r="C279" i="13"/>
  <c r="C280" i="13" s="1"/>
  <c r="C272" i="13"/>
  <c r="C273" i="13" s="1"/>
  <c r="C326" i="13"/>
  <c r="B59" i="1"/>
  <c r="B15" i="1"/>
  <c r="B16" i="1" s="1"/>
  <c r="G58" i="10"/>
  <c r="G58" i="11" s="1"/>
  <c r="G58" i="12" s="1"/>
  <c r="F58" i="10"/>
  <c r="F58" i="11" s="1"/>
  <c r="F58" i="12" s="1"/>
  <c r="C58" i="10"/>
  <c r="C58" i="11" s="1"/>
  <c r="C58" i="12" s="1"/>
  <c r="D57" i="10"/>
  <c r="D57" i="11" s="1"/>
  <c r="D57" i="12" s="1"/>
  <c r="G56" i="10"/>
  <c r="G56" i="11" s="1"/>
  <c r="G56" i="12" s="1"/>
  <c r="F56" i="10"/>
  <c r="F56" i="11" s="1"/>
  <c r="F56" i="12" s="1"/>
  <c r="B56" i="10"/>
  <c r="B56" i="11" s="1"/>
  <c r="B56" i="12" s="1"/>
  <c r="E55" i="10"/>
  <c r="E55" i="11" s="1"/>
  <c r="E55" i="12" s="1"/>
  <c r="G54" i="10"/>
  <c r="G54" i="11" s="1"/>
  <c r="G54" i="12" s="1"/>
  <c r="F54" i="10"/>
  <c r="F54" i="11" s="1"/>
  <c r="F54" i="12" s="1"/>
  <c r="C54" i="10"/>
  <c r="C54" i="11" s="1"/>
  <c r="C54" i="12" s="1"/>
  <c r="D53" i="10"/>
  <c r="D53" i="11" s="1"/>
  <c r="D53" i="12" s="1"/>
  <c r="G52" i="10"/>
  <c r="G52" i="11" s="1"/>
  <c r="G52" i="12" s="1"/>
  <c r="F52" i="10"/>
  <c r="F52" i="11" s="1"/>
  <c r="F52" i="12" s="1"/>
  <c r="B52" i="10"/>
  <c r="B52" i="11" s="1"/>
  <c r="B52" i="12" s="1"/>
  <c r="E51" i="10"/>
  <c r="E51" i="11" s="1"/>
  <c r="E51" i="12" s="1"/>
  <c r="G50" i="10"/>
  <c r="G50" i="11" s="1"/>
  <c r="G50" i="12" s="1"/>
  <c r="F50" i="10"/>
  <c r="F50" i="11" s="1"/>
  <c r="F50" i="12" s="1"/>
  <c r="C50" i="10"/>
  <c r="C50" i="11" s="1"/>
  <c r="C50" i="12" s="1"/>
  <c r="D49" i="10"/>
  <c r="D49" i="11" s="1"/>
  <c r="D49" i="12" s="1"/>
  <c r="G48" i="10"/>
  <c r="G48" i="11" s="1"/>
  <c r="G48" i="12" s="1"/>
  <c r="F48" i="10"/>
  <c r="F48" i="11" s="1"/>
  <c r="F48" i="12" s="1"/>
  <c r="B48" i="10"/>
  <c r="B48" i="11" s="1"/>
  <c r="B48" i="12" s="1"/>
  <c r="E47" i="10"/>
  <c r="E47" i="11" s="1"/>
  <c r="E47" i="12" s="1"/>
  <c r="G46" i="10"/>
  <c r="G46" i="11" s="1"/>
  <c r="G46" i="12" s="1"/>
  <c r="F46" i="10"/>
  <c r="F46" i="11" s="1"/>
  <c r="F46" i="12" s="1"/>
  <c r="C46" i="10"/>
  <c r="C46" i="11" s="1"/>
  <c r="C46" i="12" s="1"/>
  <c r="D45" i="10"/>
  <c r="D45" i="11" s="1"/>
  <c r="D45" i="12" s="1"/>
  <c r="G44" i="10"/>
  <c r="G44" i="11" s="1"/>
  <c r="G44" i="12" s="1"/>
  <c r="F44" i="10"/>
  <c r="F44" i="11" s="1"/>
  <c r="F44" i="12" s="1"/>
  <c r="B44" i="10"/>
  <c r="B44" i="11" s="1"/>
  <c r="B44" i="12" s="1"/>
  <c r="E58" i="10"/>
  <c r="E58" i="11" s="1"/>
  <c r="E58" i="12" s="1"/>
  <c r="D58" i="10"/>
  <c r="D58" i="11" s="1"/>
  <c r="D58" i="12" s="1"/>
  <c r="G57" i="10"/>
  <c r="G57" i="11" s="1"/>
  <c r="G57" i="12" s="1"/>
  <c r="F57" i="10"/>
  <c r="F57" i="11" s="1"/>
  <c r="F57" i="12" s="1"/>
  <c r="E57" i="10"/>
  <c r="E57" i="11" s="1"/>
  <c r="E57" i="12" s="1"/>
  <c r="E56" i="10"/>
  <c r="E56" i="11" s="1"/>
  <c r="E56" i="12" s="1"/>
  <c r="D56" i="10"/>
  <c r="D56" i="11" s="1"/>
  <c r="D56" i="12" s="1"/>
  <c r="G55" i="10"/>
  <c r="G55" i="11" s="1"/>
  <c r="G55" i="12" s="1"/>
  <c r="F55" i="10"/>
  <c r="F55" i="11" s="1"/>
  <c r="F55" i="12" s="1"/>
  <c r="D55" i="10"/>
  <c r="D55" i="11" s="1"/>
  <c r="D55" i="12" s="1"/>
  <c r="E54" i="10"/>
  <c r="E54" i="11" s="1"/>
  <c r="E54" i="12" s="1"/>
  <c r="D54" i="10"/>
  <c r="D54" i="11" s="1"/>
  <c r="D54" i="12" s="1"/>
  <c r="G53" i="10"/>
  <c r="G53" i="11" s="1"/>
  <c r="G53" i="12" s="1"/>
  <c r="F53" i="10"/>
  <c r="F53" i="11" s="1"/>
  <c r="F53" i="12" s="1"/>
  <c r="E53" i="10"/>
  <c r="E53" i="11" s="1"/>
  <c r="E53" i="12" s="1"/>
  <c r="E52" i="10"/>
  <c r="E52" i="11" s="1"/>
  <c r="E52" i="12" s="1"/>
  <c r="D52" i="10"/>
  <c r="D52" i="11" s="1"/>
  <c r="D52" i="12" s="1"/>
  <c r="G51" i="10"/>
  <c r="G51" i="11" s="1"/>
  <c r="G51" i="12" s="1"/>
  <c r="F51" i="10"/>
  <c r="F51" i="11" s="1"/>
  <c r="F51" i="12" s="1"/>
  <c r="D51" i="10"/>
  <c r="D51" i="11" s="1"/>
  <c r="D51" i="12" s="1"/>
  <c r="E50" i="10"/>
  <c r="E50" i="11" s="1"/>
  <c r="E50" i="12" s="1"/>
  <c r="D50" i="10"/>
  <c r="D50" i="11" s="1"/>
  <c r="D50" i="12" s="1"/>
  <c r="G49" i="10"/>
  <c r="G49" i="11" s="1"/>
  <c r="G49" i="12" s="1"/>
  <c r="F49" i="10"/>
  <c r="F49" i="11" s="1"/>
  <c r="F49" i="12" s="1"/>
  <c r="E49" i="10"/>
  <c r="E49" i="11" s="1"/>
  <c r="E49" i="12" s="1"/>
  <c r="E48" i="10"/>
  <c r="E48" i="11" s="1"/>
  <c r="E48" i="12" s="1"/>
  <c r="D48" i="10"/>
  <c r="D48" i="11" s="1"/>
  <c r="D48" i="12" s="1"/>
  <c r="G47" i="10"/>
  <c r="G47" i="11" s="1"/>
  <c r="G47" i="12" s="1"/>
  <c r="F47" i="10"/>
  <c r="F47" i="11" s="1"/>
  <c r="F47" i="12" s="1"/>
  <c r="D47" i="10"/>
  <c r="D47" i="11" s="1"/>
  <c r="D47" i="12" s="1"/>
  <c r="E46" i="10"/>
  <c r="E46" i="11" s="1"/>
  <c r="E46" i="12" s="1"/>
  <c r="D46" i="10"/>
  <c r="D46" i="11" s="1"/>
  <c r="D46" i="12" s="1"/>
  <c r="G45" i="10"/>
  <c r="G45" i="11" s="1"/>
  <c r="G45" i="12" s="1"/>
  <c r="F45" i="10"/>
  <c r="F45" i="11" s="1"/>
  <c r="F45" i="12" s="1"/>
  <c r="E45" i="10"/>
  <c r="E45" i="11" s="1"/>
  <c r="E45" i="12" s="1"/>
  <c r="D44" i="10"/>
  <c r="D44" i="11" s="1"/>
  <c r="D44" i="12" s="1"/>
  <c r="C57" i="10"/>
  <c r="C57" i="11" s="1"/>
  <c r="C57" i="12" s="1"/>
  <c r="C56" i="10"/>
  <c r="C56" i="11" s="1"/>
  <c r="C56" i="12" s="1"/>
  <c r="C55" i="10"/>
  <c r="C55" i="11" s="1"/>
  <c r="C55" i="12" s="1"/>
  <c r="C53" i="10"/>
  <c r="C53" i="11" s="1"/>
  <c r="C53" i="12" s="1"/>
  <c r="C52" i="10"/>
  <c r="C52" i="11" s="1"/>
  <c r="C52" i="12" s="1"/>
  <c r="C51" i="10"/>
  <c r="C51" i="11" s="1"/>
  <c r="C51" i="12" s="1"/>
  <c r="C49" i="10"/>
  <c r="C49" i="11" s="1"/>
  <c r="C49" i="12" s="1"/>
  <c r="C48" i="10"/>
  <c r="C48" i="11" s="1"/>
  <c r="C48" i="12" s="1"/>
  <c r="C47" i="10"/>
  <c r="C47" i="11" s="1"/>
  <c r="C47" i="12" s="1"/>
  <c r="C45" i="10"/>
  <c r="C45" i="11" s="1"/>
  <c r="C45" i="12" s="1"/>
  <c r="C44" i="10"/>
  <c r="C44" i="11" s="1"/>
  <c r="C44" i="12" s="1"/>
  <c r="B58" i="10"/>
  <c r="B58" i="11" s="1"/>
  <c r="B58" i="12" s="1"/>
  <c r="B57" i="10"/>
  <c r="B57" i="11" s="1"/>
  <c r="B57" i="12" s="1"/>
  <c r="B55" i="10"/>
  <c r="B55" i="11" s="1"/>
  <c r="B55" i="12" s="1"/>
  <c r="B54" i="10"/>
  <c r="B54" i="11" s="1"/>
  <c r="B54" i="12" s="1"/>
  <c r="B53" i="10"/>
  <c r="B53" i="11" s="1"/>
  <c r="B53" i="12" s="1"/>
  <c r="B51" i="10"/>
  <c r="B51" i="11" s="1"/>
  <c r="B51" i="12" s="1"/>
  <c r="B50" i="10"/>
  <c r="B50" i="11" s="1"/>
  <c r="B50" i="12" s="1"/>
  <c r="B49" i="10"/>
  <c r="B49" i="11" s="1"/>
  <c r="B49" i="12" s="1"/>
  <c r="B47" i="10"/>
  <c r="B47" i="11" s="1"/>
  <c r="B47" i="12" s="1"/>
  <c r="B46" i="10"/>
  <c r="B46" i="11" s="1"/>
  <c r="B46" i="12" s="1"/>
  <c r="B45" i="10"/>
  <c r="B45" i="11" s="1"/>
  <c r="B45" i="12" s="1"/>
  <c r="S59" i="12"/>
  <c r="S59" i="11"/>
  <c r="S59" i="10"/>
  <c r="S59" i="9"/>
  <c r="Q52" i="1"/>
  <c r="C240" i="13" s="1"/>
  <c r="R52" i="1"/>
  <c r="S52" i="1"/>
  <c r="C238" i="13" s="1"/>
  <c r="Q53" i="1"/>
  <c r="C244" i="13" s="1"/>
  <c r="R53" i="1"/>
  <c r="S53" i="1"/>
  <c r="C242" i="13" s="1"/>
  <c r="Q54" i="1"/>
  <c r="C248" i="13" s="1"/>
  <c r="R54" i="1"/>
  <c r="S54" i="1"/>
  <c r="C246" i="13" s="1"/>
  <c r="B246" i="13" s="1"/>
  <c r="Q55" i="1"/>
  <c r="C252" i="13" s="1"/>
  <c r="R55" i="1"/>
  <c r="S55" i="1"/>
  <c r="C250" i="13" s="1"/>
  <c r="B250" i="13" s="1"/>
  <c r="Q56" i="1"/>
  <c r="C256" i="13" s="1"/>
  <c r="R56" i="1"/>
  <c r="S56" i="1"/>
  <c r="C254" i="13" s="1"/>
  <c r="B254" i="13" s="1"/>
  <c r="Q57" i="1"/>
  <c r="C260" i="13" s="1"/>
  <c r="R57" i="1"/>
  <c r="S57" i="1"/>
  <c r="C258" i="13" s="1"/>
  <c r="B258" i="13" s="1"/>
  <c r="Q58" i="1"/>
  <c r="C264" i="13" s="1"/>
  <c r="R58" i="1"/>
  <c r="S58" i="1"/>
  <c r="C262" i="13" s="1"/>
  <c r="B262" i="13" s="1"/>
  <c r="S51" i="1"/>
  <c r="C234" i="13" s="1"/>
  <c r="R51" i="1"/>
  <c r="C235" i="13" s="1"/>
  <c r="Q51" i="1"/>
  <c r="C236" i="13" s="1"/>
  <c r="S50" i="1"/>
  <c r="C230" i="13" s="1"/>
  <c r="B230" i="13" s="1"/>
  <c r="R50" i="1"/>
  <c r="C231" i="13" s="1"/>
  <c r="B231" i="13" s="1"/>
  <c r="Q50" i="1"/>
  <c r="C232" i="13" s="1"/>
  <c r="S49" i="1"/>
  <c r="C226" i="13" s="1"/>
  <c r="B226" i="13" s="1"/>
  <c r="R49" i="1"/>
  <c r="C227" i="13" s="1"/>
  <c r="B227" i="13" s="1"/>
  <c r="Q49" i="1"/>
  <c r="C228" i="13" s="1"/>
  <c r="S48" i="1"/>
  <c r="C222" i="13" s="1"/>
  <c r="R48" i="1"/>
  <c r="C223" i="13" s="1"/>
  <c r="B223" i="13" s="1"/>
  <c r="Q48" i="1"/>
  <c r="C224" i="13" s="1"/>
  <c r="S47" i="1"/>
  <c r="C218" i="13" s="1"/>
  <c r="B218" i="13" s="1"/>
  <c r="R47" i="1"/>
  <c r="C219" i="13" s="1"/>
  <c r="Q47" i="1"/>
  <c r="C220" i="13" s="1"/>
  <c r="S46" i="1"/>
  <c r="C214" i="13" s="1"/>
  <c r="R46" i="1"/>
  <c r="C215" i="13" s="1"/>
  <c r="B215" i="13" s="1"/>
  <c r="Q46" i="1"/>
  <c r="C216" i="13" s="1"/>
  <c r="S45" i="1"/>
  <c r="C210" i="13" s="1"/>
  <c r="R45" i="1"/>
  <c r="C211" i="13" s="1"/>
  <c r="Q45" i="1"/>
  <c r="C212" i="13" s="1"/>
  <c r="S44" i="1"/>
  <c r="R44" i="1"/>
  <c r="C207" i="13" s="1"/>
  <c r="B207" i="13" s="1"/>
  <c r="Q44" i="1"/>
  <c r="U44" i="1" s="1"/>
  <c r="F151" i="13"/>
  <c r="E30" i="24" s="1"/>
  <c r="A118" i="13"/>
  <c r="N26" i="1"/>
  <c r="L41" i="12"/>
  <c r="K41" i="12"/>
  <c r="J41" i="12"/>
  <c r="L41" i="11"/>
  <c r="K41" i="11"/>
  <c r="J41" i="11"/>
  <c r="L41" i="10"/>
  <c r="K41" i="10"/>
  <c r="J41" i="10"/>
  <c r="L41" i="1"/>
  <c r="K41" i="1"/>
  <c r="J41" i="1"/>
  <c r="L41" i="9"/>
  <c r="K41" i="9"/>
  <c r="J41" i="9"/>
  <c r="C94" i="13"/>
  <c r="C95" i="13" s="1"/>
  <c r="C87" i="13"/>
  <c r="C88" i="13" s="1"/>
  <c r="C80" i="13"/>
  <c r="C81" i="13" s="1"/>
  <c r="C73" i="13"/>
  <c r="C74" i="13" s="1"/>
  <c r="C66" i="13"/>
  <c r="C67" i="13" s="1"/>
  <c r="C59" i="13"/>
  <c r="C60" i="13" s="1"/>
  <c r="C52" i="13"/>
  <c r="C53" i="13" s="1"/>
  <c r="C45" i="13"/>
  <c r="C46" i="13" s="1"/>
  <c r="R8" i="1"/>
  <c r="V8" i="1" s="1"/>
  <c r="R9" i="1"/>
  <c r="V9" i="1" s="1"/>
  <c r="R10" i="1"/>
  <c r="V10" i="1" s="1"/>
  <c r="R11" i="1"/>
  <c r="V11" i="1" s="1"/>
  <c r="R12" i="1"/>
  <c r="C28" i="13" s="1"/>
  <c r="R13" i="1"/>
  <c r="V13" i="1" s="1"/>
  <c r="R14" i="1"/>
  <c r="V14" i="1" s="1"/>
  <c r="L21" i="9"/>
  <c r="L22" i="9"/>
  <c r="L22" i="10" s="1"/>
  <c r="L22" i="11" s="1"/>
  <c r="L25" i="9"/>
  <c r="M25" i="9" s="1"/>
  <c r="U7" i="1"/>
  <c r="Q8" i="1"/>
  <c r="U8" i="1" s="1"/>
  <c r="Q9" i="1"/>
  <c r="U9" i="1" s="1"/>
  <c r="Q10" i="1"/>
  <c r="U10" i="1" s="1"/>
  <c r="Q11" i="1"/>
  <c r="U11" i="1" s="1"/>
  <c r="Q12" i="1"/>
  <c r="U12" i="1" s="1"/>
  <c r="Q13" i="1"/>
  <c r="U13" i="1" s="1"/>
  <c r="Q14" i="1"/>
  <c r="U14" i="1" s="1"/>
  <c r="M21" i="1"/>
  <c r="N21" i="1" s="1"/>
  <c r="M22" i="1"/>
  <c r="N22" i="1" s="1"/>
  <c r="M25" i="1"/>
  <c r="N25" i="1" s="1"/>
  <c r="W7" i="1"/>
  <c r="S8" i="1"/>
  <c r="W8" i="1" s="1"/>
  <c r="S9" i="1"/>
  <c r="S10" i="1"/>
  <c r="S11" i="1"/>
  <c r="W11" i="1" s="1"/>
  <c r="S12" i="1"/>
  <c r="W12" i="1" s="1"/>
  <c r="S13" i="1"/>
  <c r="S14" i="1"/>
  <c r="W14" i="1" s="1"/>
  <c r="M23" i="1"/>
  <c r="N23" i="1" s="1"/>
  <c r="C108" i="13"/>
  <c r="B12" i="24" s="1"/>
  <c r="C107" i="13"/>
  <c r="B11" i="24" s="1"/>
  <c r="C106" i="13"/>
  <c r="B10" i="24" s="1"/>
  <c r="L24" i="9"/>
  <c r="L24" i="10" s="1"/>
  <c r="L26" i="9"/>
  <c r="C105" i="13"/>
  <c r="B9" i="24" s="1"/>
  <c r="C103" i="13"/>
  <c r="B8" i="24" s="1"/>
  <c r="C102" i="13"/>
  <c r="B7" i="24" s="1"/>
  <c r="B28" i="8"/>
  <c r="B29" i="8"/>
  <c r="D143" i="13"/>
  <c r="C24" i="24" s="1"/>
  <c r="D144" i="13"/>
  <c r="C25" i="24" s="1"/>
  <c r="D150" i="13"/>
  <c r="C29" i="24" s="1"/>
  <c r="D151" i="13"/>
  <c r="C30" i="24" s="1"/>
  <c r="D158" i="13"/>
  <c r="D159" i="13"/>
  <c r="C38" i="24" s="1"/>
  <c r="D152" i="13"/>
  <c r="C31" i="24" s="1"/>
  <c r="D148" i="13"/>
  <c r="C28" i="24" s="1"/>
  <c r="E143" i="13"/>
  <c r="D24" i="24" s="1"/>
  <c r="E144" i="13"/>
  <c r="D25" i="24" s="1"/>
  <c r="E150" i="13"/>
  <c r="D29" i="24" s="1"/>
  <c r="E151" i="13"/>
  <c r="D30" i="24" s="1"/>
  <c r="E158" i="13"/>
  <c r="D37" i="24" s="1"/>
  <c r="E159" i="13"/>
  <c r="D38" i="24" s="1"/>
  <c r="E153" i="13"/>
  <c r="D32" i="24" s="1"/>
  <c r="E152" i="13"/>
  <c r="D31" i="24" s="1"/>
  <c r="E148" i="13"/>
  <c r="D28" i="24" s="1"/>
  <c r="F143" i="13"/>
  <c r="E24" i="24" s="1"/>
  <c r="F144" i="13"/>
  <c r="E25" i="24" s="1"/>
  <c r="F150" i="13"/>
  <c r="E29" i="24" s="1"/>
  <c r="F158" i="13"/>
  <c r="F159" i="13"/>
  <c r="E38" i="24" s="1"/>
  <c r="F153" i="13"/>
  <c r="E32" i="24" s="1"/>
  <c r="F152" i="13"/>
  <c r="E31" i="24" s="1"/>
  <c r="F148" i="13"/>
  <c r="E28" i="24" s="1"/>
  <c r="G143" i="13"/>
  <c r="F24" i="24" s="1"/>
  <c r="G144" i="13"/>
  <c r="F25" i="24" s="1"/>
  <c r="G150" i="13"/>
  <c r="F29" i="24" s="1"/>
  <c r="G151" i="13"/>
  <c r="F30" i="24" s="1"/>
  <c r="G158" i="13"/>
  <c r="F37" i="24" s="1"/>
  <c r="G159" i="13"/>
  <c r="F38" i="24" s="1"/>
  <c r="G153" i="13"/>
  <c r="F32" i="24" s="1"/>
  <c r="G152" i="13"/>
  <c r="F31" i="24" s="1"/>
  <c r="G148" i="13"/>
  <c r="F28" i="24" s="1"/>
  <c r="C143" i="13"/>
  <c r="B24" i="24" s="1"/>
  <c r="C144" i="13"/>
  <c r="B25" i="24" s="1"/>
  <c r="C150" i="13"/>
  <c r="B29" i="24" s="1"/>
  <c r="C151" i="13"/>
  <c r="B30" i="24" s="1"/>
  <c r="C158" i="13"/>
  <c r="C159" i="13"/>
  <c r="B38" i="24" s="1"/>
  <c r="C152" i="13"/>
  <c r="B31" i="24" s="1"/>
  <c r="C148" i="13"/>
  <c r="B28" i="24" s="1"/>
  <c r="H2" i="13"/>
  <c r="A86" i="13"/>
  <c r="A79" i="13"/>
  <c r="A72" i="13"/>
  <c r="A22" i="13"/>
  <c r="A65" i="13"/>
  <c r="A58" i="13"/>
  <c r="A51" i="13"/>
  <c r="A44" i="13"/>
  <c r="A34" i="13"/>
  <c r="A30" i="13"/>
  <c r="A26" i="13"/>
  <c r="A18" i="13"/>
  <c r="A14" i="13"/>
  <c r="A10" i="13"/>
  <c r="A6" i="13"/>
  <c r="C98" i="13"/>
  <c r="C99" i="13" s="1"/>
  <c r="C91" i="13"/>
  <c r="C92" i="13" s="1"/>
  <c r="C84" i="13"/>
  <c r="C77" i="13"/>
  <c r="C78" i="13" s="1"/>
  <c r="C70" i="13"/>
  <c r="C71" i="13" s="1"/>
  <c r="C63" i="13"/>
  <c r="C64" i="13" s="1"/>
  <c r="C56" i="13"/>
  <c r="C96" i="13"/>
  <c r="C97" i="13" s="1"/>
  <c r="C89" i="13"/>
  <c r="C90" i="13" s="1"/>
  <c r="C82" i="13"/>
  <c r="C83" i="13" s="1"/>
  <c r="C75" i="13"/>
  <c r="C76" i="13" s="1"/>
  <c r="C68" i="13"/>
  <c r="C69" i="13" s="1"/>
  <c r="C61" i="13"/>
  <c r="C62" i="13" s="1"/>
  <c r="C54" i="13"/>
  <c r="C55" i="13" s="1"/>
  <c r="C49" i="13"/>
  <c r="C50" i="13" s="1"/>
  <c r="C47" i="13"/>
  <c r="C48" i="13" s="1"/>
  <c r="A167" i="13"/>
  <c r="D137" i="13"/>
  <c r="C21" i="24" s="1"/>
  <c r="E137" i="13"/>
  <c r="D21" i="24" s="1"/>
  <c r="F137" i="13"/>
  <c r="E21" i="24" s="1"/>
  <c r="G137" i="13"/>
  <c r="F21" i="24" s="1"/>
  <c r="D138" i="13"/>
  <c r="C22" i="24" s="1"/>
  <c r="E138" i="13"/>
  <c r="D22" i="24" s="1"/>
  <c r="F138" i="13"/>
  <c r="E22" i="24" s="1"/>
  <c r="G138" i="13"/>
  <c r="F22" i="24" s="1"/>
  <c r="D139" i="13"/>
  <c r="C23" i="24" s="1"/>
  <c r="E139" i="13"/>
  <c r="D23" i="24" s="1"/>
  <c r="F139" i="13"/>
  <c r="E23" i="24" s="1"/>
  <c r="G139" i="13"/>
  <c r="F23" i="24" s="1"/>
  <c r="G136" i="13"/>
  <c r="F136" i="13"/>
  <c r="E136" i="13"/>
  <c r="D136" i="13"/>
  <c r="C137" i="13"/>
  <c r="B21" i="24" s="1"/>
  <c r="C139" i="13"/>
  <c r="B23" i="24" s="1"/>
  <c r="C136" i="13"/>
  <c r="P48" i="2"/>
  <c r="N48" i="2"/>
  <c r="L48" i="2"/>
  <c r="H15" i="2"/>
  <c r="H21" i="2"/>
  <c r="H29" i="2"/>
  <c r="J15" i="2"/>
  <c r="J21" i="2"/>
  <c r="J29" i="2"/>
  <c r="P15" i="2"/>
  <c r="P21" i="2"/>
  <c r="P29" i="2"/>
  <c r="N15" i="2"/>
  <c r="N21" i="2"/>
  <c r="N29" i="2"/>
  <c r="L15" i="2"/>
  <c r="L21" i="2"/>
  <c r="L29" i="2"/>
  <c r="G131" i="13"/>
  <c r="F17" i="24" s="1"/>
  <c r="F131" i="13"/>
  <c r="E17" i="24" s="1"/>
  <c r="E131" i="13"/>
  <c r="D17" i="24" s="1"/>
  <c r="G132" i="13"/>
  <c r="F18" i="24" s="1"/>
  <c r="F132" i="13"/>
  <c r="E18" i="24" s="1"/>
  <c r="E132" i="13"/>
  <c r="D18" i="24" s="1"/>
  <c r="E133" i="13"/>
  <c r="F133" i="13"/>
  <c r="C132" i="13"/>
  <c r="B18" i="24" s="1"/>
  <c r="D132" i="13"/>
  <c r="C18" i="24" s="1"/>
  <c r="C131" i="13"/>
  <c r="B17" i="24" s="1"/>
  <c r="D131" i="13"/>
  <c r="C17" i="24" s="1"/>
  <c r="E127" i="13"/>
  <c r="M24" i="1"/>
  <c r="N24" i="1" s="1"/>
  <c r="C8" i="13"/>
  <c r="A117" i="13"/>
  <c r="H176" i="13"/>
  <c r="K26" i="9"/>
  <c r="K26" i="10" s="1"/>
  <c r="K26" i="11" s="1"/>
  <c r="K26" i="12" s="1"/>
  <c r="J26" i="9"/>
  <c r="J26" i="10" s="1"/>
  <c r="J26" i="11" s="1"/>
  <c r="J26" i="12" s="1"/>
  <c r="I26" i="9"/>
  <c r="I26" i="10" s="1"/>
  <c r="I26" i="11" s="1"/>
  <c r="I26" i="12" s="1"/>
  <c r="B26" i="9"/>
  <c r="B26" i="10" s="1"/>
  <c r="B26" i="11" s="1"/>
  <c r="B26" i="12" s="1"/>
  <c r="K25" i="9"/>
  <c r="K25" i="10" s="1"/>
  <c r="K25" i="11" s="1"/>
  <c r="K25" i="12" s="1"/>
  <c r="J25" i="9"/>
  <c r="J25" i="10" s="1"/>
  <c r="J25" i="11" s="1"/>
  <c r="J25" i="12" s="1"/>
  <c r="I25" i="9"/>
  <c r="I25" i="10" s="1"/>
  <c r="I25" i="11" s="1"/>
  <c r="I25" i="12" s="1"/>
  <c r="B25" i="9"/>
  <c r="B25" i="10" s="1"/>
  <c r="B25" i="11" s="1"/>
  <c r="B25" i="12" s="1"/>
  <c r="K24" i="9"/>
  <c r="K24" i="10" s="1"/>
  <c r="K24" i="11" s="1"/>
  <c r="K24" i="12" s="1"/>
  <c r="J24" i="9"/>
  <c r="J24" i="10" s="1"/>
  <c r="J24" i="11" s="1"/>
  <c r="J24" i="12" s="1"/>
  <c r="I24" i="9"/>
  <c r="I24" i="10" s="1"/>
  <c r="I24" i="11" s="1"/>
  <c r="I24" i="12" s="1"/>
  <c r="B24" i="9"/>
  <c r="B24" i="10" s="1"/>
  <c r="B24" i="11" s="1"/>
  <c r="B24" i="12" s="1"/>
  <c r="K23" i="9"/>
  <c r="K23" i="10" s="1"/>
  <c r="K23" i="11" s="1"/>
  <c r="K23" i="12" s="1"/>
  <c r="J23" i="9"/>
  <c r="J23" i="10" s="1"/>
  <c r="J23" i="11" s="1"/>
  <c r="J23" i="12" s="1"/>
  <c r="I23" i="9"/>
  <c r="I23" i="10" s="1"/>
  <c r="I23" i="11" s="1"/>
  <c r="I23" i="12" s="1"/>
  <c r="H23" i="10"/>
  <c r="H23" i="11" s="1"/>
  <c r="H23" i="12" s="1"/>
  <c r="B23" i="10"/>
  <c r="K22" i="9"/>
  <c r="K22" i="10" s="1"/>
  <c r="K22" i="11" s="1"/>
  <c r="K22" i="12" s="1"/>
  <c r="J22" i="9"/>
  <c r="J22" i="10" s="1"/>
  <c r="J22" i="11" s="1"/>
  <c r="J22" i="12" s="1"/>
  <c r="I22" i="9"/>
  <c r="I22" i="10" s="1"/>
  <c r="I22" i="11" s="1"/>
  <c r="I22" i="12" s="1"/>
  <c r="B22" i="10"/>
  <c r="B22" i="11" s="1"/>
  <c r="B22" i="12" s="1"/>
  <c r="K21" i="9"/>
  <c r="K21" i="10" s="1"/>
  <c r="K21" i="11" s="1"/>
  <c r="K21" i="12" s="1"/>
  <c r="J21" i="9"/>
  <c r="J21" i="10" s="1"/>
  <c r="J21" i="11" s="1"/>
  <c r="J21" i="12" s="1"/>
  <c r="I21" i="9"/>
  <c r="I21" i="10" s="1"/>
  <c r="I21" i="11" s="1"/>
  <c r="I21" i="12" s="1"/>
  <c r="B21" i="9"/>
  <c r="B21" i="10" s="1"/>
  <c r="B21" i="11" s="1"/>
  <c r="G14" i="9"/>
  <c r="G14" i="10" s="1"/>
  <c r="G14" i="11" s="1"/>
  <c r="G14" i="12" s="1"/>
  <c r="F14" i="9"/>
  <c r="F14" i="10" s="1"/>
  <c r="F14" i="11" s="1"/>
  <c r="F14" i="12" s="1"/>
  <c r="E14" i="9"/>
  <c r="E14" i="10" s="1"/>
  <c r="E14" i="11" s="1"/>
  <c r="E14" i="12" s="1"/>
  <c r="D14" i="9"/>
  <c r="D14" i="10" s="1"/>
  <c r="D14" i="11" s="1"/>
  <c r="D14" i="12" s="1"/>
  <c r="C14" i="9"/>
  <c r="C14" i="10" s="1"/>
  <c r="C14" i="11" s="1"/>
  <c r="C14" i="12" s="1"/>
  <c r="B14" i="9"/>
  <c r="B14" i="10" s="1"/>
  <c r="B14" i="11" s="1"/>
  <c r="B14" i="12" s="1"/>
  <c r="G13" i="9"/>
  <c r="G13" i="10" s="1"/>
  <c r="G13" i="11" s="1"/>
  <c r="G13" i="12" s="1"/>
  <c r="F13" i="9"/>
  <c r="F13" i="10" s="1"/>
  <c r="F13" i="11" s="1"/>
  <c r="F13" i="12" s="1"/>
  <c r="E13" i="9"/>
  <c r="E13" i="10" s="1"/>
  <c r="E13" i="11" s="1"/>
  <c r="E13" i="12" s="1"/>
  <c r="D13" i="9"/>
  <c r="D13" i="10" s="1"/>
  <c r="D13" i="11" s="1"/>
  <c r="D13" i="12" s="1"/>
  <c r="C13" i="9"/>
  <c r="C13" i="10" s="1"/>
  <c r="C13" i="11" s="1"/>
  <c r="C13" i="12" s="1"/>
  <c r="B13" i="9"/>
  <c r="B13" i="10" s="1"/>
  <c r="B13" i="11" s="1"/>
  <c r="B13" i="12" s="1"/>
  <c r="G12" i="9"/>
  <c r="G12" i="10" s="1"/>
  <c r="G12" i="11" s="1"/>
  <c r="G12" i="12" s="1"/>
  <c r="F12" i="9"/>
  <c r="F12" i="10" s="1"/>
  <c r="F12" i="11" s="1"/>
  <c r="F12" i="12" s="1"/>
  <c r="E12" i="9"/>
  <c r="E12" i="10" s="1"/>
  <c r="E12" i="11" s="1"/>
  <c r="E12" i="12" s="1"/>
  <c r="D12" i="9"/>
  <c r="D12" i="10" s="1"/>
  <c r="D12" i="11" s="1"/>
  <c r="D12" i="12" s="1"/>
  <c r="C12" i="9"/>
  <c r="C12" i="10" s="1"/>
  <c r="C12" i="11" s="1"/>
  <c r="C12" i="12" s="1"/>
  <c r="B12" i="9"/>
  <c r="B12" i="10" s="1"/>
  <c r="B12" i="11" s="1"/>
  <c r="B12" i="12" s="1"/>
  <c r="G11" i="9"/>
  <c r="G11" i="10" s="1"/>
  <c r="G11" i="11" s="1"/>
  <c r="G11" i="12" s="1"/>
  <c r="F11" i="9"/>
  <c r="F11" i="10" s="1"/>
  <c r="F11" i="11" s="1"/>
  <c r="F11" i="12" s="1"/>
  <c r="E11" i="9"/>
  <c r="E11" i="10" s="1"/>
  <c r="E11" i="11" s="1"/>
  <c r="E11" i="12" s="1"/>
  <c r="D11" i="9"/>
  <c r="D11" i="10" s="1"/>
  <c r="D11" i="11" s="1"/>
  <c r="D11" i="12" s="1"/>
  <c r="C11" i="9"/>
  <c r="C11" i="10" s="1"/>
  <c r="C11" i="11" s="1"/>
  <c r="C11" i="12" s="1"/>
  <c r="B11" i="9"/>
  <c r="B11" i="10" s="1"/>
  <c r="B11" i="11" s="1"/>
  <c r="B11" i="12" s="1"/>
  <c r="G10" i="9"/>
  <c r="G10" i="10" s="1"/>
  <c r="G10" i="11" s="1"/>
  <c r="G10" i="12" s="1"/>
  <c r="F10" i="9"/>
  <c r="F10" i="10" s="1"/>
  <c r="F10" i="11" s="1"/>
  <c r="F10" i="12" s="1"/>
  <c r="E10" i="9"/>
  <c r="E10" i="10" s="1"/>
  <c r="E10" i="11" s="1"/>
  <c r="E10" i="12" s="1"/>
  <c r="D10" i="9"/>
  <c r="D10" i="10" s="1"/>
  <c r="D10" i="11" s="1"/>
  <c r="D10" i="12" s="1"/>
  <c r="C10" i="9"/>
  <c r="C10" i="10" s="1"/>
  <c r="C10" i="11" s="1"/>
  <c r="C10" i="12" s="1"/>
  <c r="B10" i="9"/>
  <c r="B10" i="10" s="1"/>
  <c r="B10" i="11" s="1"/>
  <c r="B10" i="12" s="1"/>
  <c r="G9" i="9"/>
  <c r="G9" i="10" s="1"/>
  <c r="G9" i="11" s="1"/>
  <c r="G9" i="12" s="1"/>
  <c r="F9" i="9"/>
  <c r="F9" i="10" s="1"/>
  <c r="F9" i="11" s="1"/>
  <c r="F9" i="12" s="1"/>
  <c r="E9" i="9"/>
  <c r="E9" i="10" s="1"/>
  <c r="E9" i="11" s="1"/>
  <c r="E9" i="12" s="1"/>
  <c r="D9" i="9"/>
  <c r="D9" i="10" s="1"/>
  <c r="D9" i="11" s="1"/>
  <c r="D9" i="12" s="1"/>
  <c r="C9" i="9"/>
  <c r="C9" i="10" s="1"/>
  <c r="C9" i="11" s="1"/>
  <c r="C9" i="12" s="1"/>
  <c r="B9" i="9"/>
  <c r="B9" i="10" s="1"/>
  <c r="B9" i="11" s="1"/>
  <c r="B9" i="12" s="1"/>
  <c r="G8" i="9"/>
  <c r="G8" i="10" s="1"/>
  <c r="G8" i="11" s="1"/>
  <c r="G8" i="12" s="1"/>
  <c r="F8" i="9"/>
  <c r="F8" i="10" s="1"/>
  <c r="F8" i="11" s="1"/>
  <c r="F8" i="12" s="1"/>
  <c r="E8" i="9"/>
  <c r="E8" i="10" s="1"/>
  <c r="E8" i="11" s="1"/>
  <c r="E8" i="12" s="1"/>
  <c r="D8" i="9"/>
  <c r="D8" i="10" s="1"/>
  <c r="D8" i="11" s="1"/>
  <c r="D8" i="12" s="1"/>
  <c r="C8" i="9"/>
  <c r="C8" i="10" s="1"/>
  <c r="C8" i="11" s="1"/>
  <c r="C8" i="12" s="1"/>
  <c r="B8" i="9"/>
  <c r="B8" i="10" s="1"/>
  <c r="B8" i="11" s="1"/>
  <c r="B8" i="12" s="1"/>
  <c r="G7" i="9"/>
  <c r="G7" i="10" s="1"/>
  <c r="G7" i="11" s="1"/>
  <c r="G7" i="12" s="1"/>
  <c r="F7" i="9"/>
  <c r="F7" i="10" s="1"/>
  <c r="F7" i="11" s="1"/>
  <c r="F7" i="12" s="1"/>
  <c r="E7" i="9"/>
  <c r="E7" i="10" s="1"/>
  <c r="E7" i="11" s="1"/>
  <c r="E7" i="12" s="1"/>
  <c r="D7" i="9"/>
  <c r="D7" i="10" s="1"/>
  <c r="D7" i="11" s="1"/>
  <c r="D7" i="12" s="1"/>
  <c r="C7" i="9"/>
  <c r="C7" i="10" s="1"/>
  <c r="C7" i="11" s="1"/>
  <c r="C7" i="12" s="1"/>
  <c r="B7" i="9"/>
  <c r="B7" i="10" s="1"/>
  <c r="B7" i="11" s="1"/>
  <c r="B7" i="12" s="1"/>
  <c r="R35" i="2"/>
  <c r="F21" i="8" s="1"/>
  <c r="R36" i="2"/>
  <c r="F22" i="8" s="1"/>
  <c r="R37" i="2"/>
  <c r="F23" i="8" s="1"/>
  <c r="R39" i="2"/>
  <c r="F25" i="8" s="1"/>
  <c r="R40" i="2"/>
  <c r="F26" i="8" s="1"/>
  <c r="R46" i="2"/>
  <c r="F28" i="8" s="1"/>
  <c r="R47" i="2"/>
  <c r="F29" i="8" s="1"/>
  <c r="R34" i="2"/>
  <c r="F20" i="8" s="1"/>
  <c r="R26" i="2"/>
  <c r="F15" i="8" s="1"/>
  <c r="R27" i="2"/>
  <c r="F16" i="8" s="1"/>
  <c r="R28" i="2"/>
  <c r="F17" i="8" s="1"/>
  <c r="R25" i="2"/>
  <c r="R20" i="2"/>
  <c r="F12" i="8" s="1"/>
  <c r="R19" i="2"/>
  <c r="F11" i="8" s="1"/>
  <c r="R7" i="2"/>
  <c r="R8" i="2"/>
  <c r="R9" i="2"/>
  <c r="R10" i="2"/>
  <c r="R11" i="2"/>
  <c r="R12" i="2"/>
  <c r="R13" i="2"/>
  <c r="R14" i="2"/>
  <c r="B214" i="13" l="1"/>
  <c r="B222" i="13"/>
  <c r="B242" i="13"/>
  <c r="B211" i="13"/>
  <c r="B219" i="13"/>
  <c r="B235" i="13"/>
  <c r="B210" i="13"/>
  <c r="B234" i="13"/>
  <c r="B238" i="13"/>
  <c r="B37" i="24"/>
  <c r="C160" i="13"/>
  <c r="B23" i="11"/>
  <c r="B29" i="11" s="1"/>
  <c r="L93" i="2"/>
  <c r="C119" i="13"/>
  <c r="J13" i="19"/>
  <c r="D19" i="24"/>
  <c r="L21" i="19"/>
  <c r="E20" i="24"/>
  <c r="N21" i="19"/>
  <c r="F20" i="24"/>
  <c r="H21" i="19"/>
  <c r="C20" i="24"/>
  <c r="F160" i="13"/>
  <c r="E39" i="24" s="1"/>
  <c r="E37" i="24"/>
  <c r="L13" i="19"/>
  <c r="E19" i="24"/>
  <c r="J21" i="19"/>
  <c r="D20" i="24"/>
  <c r="C37" i="24"/>
  <c r="F21" i="19"/>
  <c r="B20" i="24"/>
  <c r="C12" i="13"/>
  <c r="V12" i="1"/>
  <c r="M12" i="1" s="1"/>
  <c r="N12" i="1" s="1"/>
  <c r="G160" i="13"/>
  <c r="F39" i="24" s="1"/>
  <c r="M23" i="9"/>
  <c r="M11" i="1"/>
  <c r="N11" i="1" s="1"/>
  <c r="M14" i="1"/>
  <c r="N14" i="1" s="1"/>
  <c r="C13" i="13"/>
  <c r="D63" i="13"/>
  <c r="D64" i="13" s="1"/>
  <c r="C24" i="13"/>
  <c r="M8" i="1"/>
  <c r="N8" i="1" s="1"/>
  <c r="C37" i="13"/>
  <c r="C21" i="13"/>
  <c r="C20" i="13"/>
  <c r="C36" i="13"/>
  <c r="D105" i="13"/>
  <c r="C9" i="24" s="1"/>
  <c r="C120" i="13"/>
  <c r="B39" i="24"/>
  <c r="E160" i="13"/>
  <c r="D39" i="24" s="1"/>
  <c r="L24" i="11"/>
  <c r="L24" i="12" s="1"/>
  <c r="M24" i="12" s="1"/>
  <c r="M24" i="9"/>
  <c r="L25" i="10"/>
  <c r="L25" i="11" s="1"/>
  <c r="M24" i="10"/>
  <c r="N24" i="10" s="1"/>
  <c r="N25" i="9"/>
  <c r="C7" i="13"/>
  <c r="N22" i="11"/>
  <c r="L22" i="12"/>
  <c r="M22" i="11"/>
  <c r="B21" i="12"/>
  <c r="B29" i="9"/>
  <c r="E107" i="13"/>
  <c r="D11" i="24" s="1"/>
  <c r="L23" i="10"/>
  <c r="M22" i="10"/>
  <c r="N22" i="10" s="1"/>
  <c r="B29" i="10"/>
  <c r="M21" i="9"/>
  <c r="N21" i="9" s="1"/>
  <c r="L21" i="10"/>
  <c r="L26" i="10"/>
  <c r="E108" i="13" s="1"/>
  <c r="D12" i="24" s="1"/>
  <c r="B15" i="9"/>
  <c r="B16" i="9" s="1"/>
  <c r="E44" i="10"/>
  <c r="E44" i="11" s="1"/>
  <c r="E44" i="12" s="1"/>
  <c r="B59" i="12" s="1"/>
  <c r="B15" i="12" s="1"/>
  <c r="B16" i="12" s="1"/>
  <c r="Q52" i="9"/>
  <c r="D329" i="13"/>
  <c r="D281" i="13"/>
  <c r="P45" i="9"/>
  <c r="D212" i="13" s="1"/>
  <c r="P56" i="9"/>
  <c r="D256" i="13" s="1"/>
  <c r="P52" i="9"/>
  <c r="D240" i="13" s="1"/>
  <c r="N24" i="9"/>
  <c r="M22" i="9"/>
  <c r="N22" i="9" s="1"/>
  <c r="D300" i="13"/>
  <c r="Q48" i="9"/>
  <c r="D223" i="13" s="1"/>
  <c r="D359" i="13"/>
  <c r="P48" i="9"/>
  <c r="D224" i="13" s="1"/>
  <c r="M26" i="9"/>
  <c r="N15" i="19"/>
  <c r="H15" i="19"/>
  <c r="F15" i="19"/>
  <c r="J15" i="19"/>
  <c r="L15" i="19"/>
  <c r="G127" i="13"/>
  <c r="G128" i="13"/>
  <c r="F128" i="13"/>
  <c r="F127" i="13"/>
  <c r="C16" i="13"/>
  <c r="C32" i="13"/>
  <c r="E128" i="13"/>
  <c r="D140" i="13"/>
  <c r="C23" i="13"/>
  <c r="C208" i="13"/>
  <c r="C267" i="13" s="1"/>
  <c r="C29" i="13"/>
  <c r="C33" i="13"/>
  <c r="C25" i="13"/>
  <c r="C17" i="13"/>
  <c r="C11" i="13"/>
  <c r="C27" i="13"/>
  <c r="C35" i="13"/>
  <c r="D102" i="13"/>
  <c r="C7" i="24" s="1"/>
  <c r="C112" i="13"/>
  <c r="C111" i="13"/>
  <c r="H197" i="13"/>
  <c r="H189" i="13"/>
  <c r="H159" i="13"/>
  <c r="G38" i="24" s="1"/>
  <c r="H151" i="13"/>
  <c r="G30" i="24" s="1"/>
  <c r="G133" i="13"/>
  <c r="D127" i="13"/>
  <c r="D128" i="13"/>
  <c r="C128" i="13"/>
  <c r="D107" i="13"/>
  <c r="C11" i="24" s="1"/>
  <c r="C255" i="13"/>
  <c r="B255" i="13" s="1"/>
  <c r="V56" i="1"/>
  <c r="C239" i="13"/>
  <c r="B239" i="13" s="1"/>
  <c r="V52" i="1"/>
  <c r="W44" i="1"/>
  <c r="S59" i="1"/>
  <c r="C127" i="13"/>
  <c r="H138" i="13"/>
  <c r="G22" i="24" s="1"/>
  <c r="H139" i="13"/>
  <c r="G23" i="24" s="1"/>
  <c r="H137" i="13"/>
  <c r="G21" i="24" s="1"/>
  <c r="C259" i="13"/>
  <c r="B259" i="13" s="1"/>
  <c r="V57" i="1"/>
  <c r="C243" i="13"/>
  <c r="B243" i="13" s="1"/>
  <c r="V53" i="1"/>
  <c r="C133" i="13"/>
  <c r="W13" i="1"/>
  <c r="M13" i="1" s="1"/>
  <c r="N13" i="1" s="1"/>
  <c r="C31" i="13"/>
  <c r="W9" i="1"/>
  <c r="M9" i="1" s="1"/>
  <c r="N9" i="1" s="1"/>
  <c r="C15" i="13"/>
  <c r="C251" i="13"/>
  <c r="B251" i="13" s="1"/>
  <c r="V55" i="1"/>
  <c r="C206" i="13"/>
  <c r="B206" i="13" s="1"/>
  <c r="Q59" i="1"/>
  <c r="R38" i="2"/>
  <c r="F24" i="8" s="1"/>
  <c r="H144" i="13"/>
  <c r="G25" i="24" s="1"/>
  <c r="H195" i="13"/>
  <c r="H187" i="13"/>
  <c r="H148" i="13"/>
  <c r="G28" i="24" s="1"/>
  <c r="H158" i="13"/>
  <c r="G37" i="24" s="1"/>
  <c r="H193" i="13"/>
  <c r="W10" i="1"/>
  <c r="M10" i="1" s="1"/>
  <c r="N10" i="1" s="1"/>
  <c r="C19" i="13"/>
  <c r="R15" i="1"/>
  <c r="R59" i="1"/>
  <c r="V44" i="1"/>
  <c r="C263" i="13"/>
  <c r="B263" i="13" s="1"/>
  <c r="V58" i="1"/>
  <c r="C247" i="13"/>
  <c r="B247" i="13" s="1"/>
  <c r="V54" i="1"/>
  <c r="R29" i="2"/>
  <c r="F18" i="8" s="1"/>
  <c r="V7" i="1"/>
  <c r="M7" i="1" s="1"/>
  <c r="N7" i="1" s="1"/>
  <c r="R15" i="2"/>
  <c r="G9" i="8" s="1"/>
  <c r="C9" i="13"/>
  <c r="Q15" i="1"/>
  <c r="C57" i="13"/>
  <c r="H199" i="13"/>
  <c r="H191" i="13"/>
  <c r="D201" i="13"/>
  <c r="H150" i="13"/>
  <c r="G29" i="24" s="1"/>
  <c r="C85" i="13"/>
  <c r="E201" i="13"/>
  <c r="F107" i="13"/>
  <c r="E11" i="24" s="1"/>
  <c r="H143" i="13"/>
  <c r="H152" i="13"/>
  <c r="G31" i="24" s="1"/>
  <c r="D103" i="13"/>
  <c r="C8" i="24" s="1"/>
  <c r="H136" i="13"/>
  <c r="G20" i="24" s="1"/>
  <c r="E106" i="13"/>
  <c r="D10" i="24" s="1"/>
  <c r="D108" i="13"/>
  <c r="C12" i="24" s="1"/>
  <c r="D106" i="13"/>
  <c r="C10" i="24" s="1"/>
  <c r="F14" i="8"/>
  <c r="H132" i="13"/>
  <c r="G18" i="24" s="1"/>
  <c r="R21" i="2"/>
  <c r="F10" i="8" s="1"/>
  <c r="H131" i="13"/>
  <c r="G17" i="24" s="1"/>
  <c r="D133" i="13"/>
  <c r="C140" i="13"/>
  <c r="G201" i="13"/>
  <c r="C201" i="13"/>
  <c r="F201" i="13"/>
  <c r="E140" i="13"/>
  <c r="F140" i="13"/>
  <c r="G140" i="13"/>
  <c r="U15" i="1"/>
  <c r="S15" i="1"/>
  <c r="U45" i="1"/>
  <c r="V45" i="1"/>
  <c r="W45" i="1"/>
  <c r="U46" i="1"/>
  <c r="V46" i="1"/>
  <c r="W46" i="1"/>
  <c r="U47" i="1"/>
  <c r="V47" i="1"/>
  <c r="W47" i="1"/>
  <c r="U48" i="1"/>
  <c r="V48" i="1"/>
  <c r="W48" i="1"/>
  <c r="U49" i="1"/>
  <c r="V49" i="1"/>
  <c r="W49" i="1"/>
  <c r="U50" i="1"/>
  <c r="V50" i="1"/>
  <c r="W50" i="1"/>
  <c r="U51" i="1"/>
  <c r="V51" i="1"/>
  <c r="W51" i="1"/>
  <c r="W58" i="1"/>
  <c r="U58" i="1"/>
  <c r="W57" i="1"/>
  <c r="U57" i="1"/>
  <c r="W56" i="1"/>
  <c r="U56" i="1"/>
  <c r="W55" i="1"/>
  <c r="U55" i="1"/>
  <c r="W54" i="1"/>
  <c r="U54" i="1"/>
  <c r="W53" i="1"/>
  <c r="U53" i="1"/>
  <c r="W52" i="1"/>
  <c r="U52" i="1"/>
  <c r="D283" i="13"/>
  <c r="D302" i="13"/>
  <c r="D304" i="13"/>
  <c r="D318" i="13"/>
  <c r="D331" i="13"/>
  <c r="D333" i="13"/>
  <c r="D354" i="13"/>
  <c r="D361" i="13"/>
  <c r="P21" i="19" l="1"/>
  <c r="E102" i="13"/>
  <c r="D7" i="24" s="1"/>
  <c r="L23" i="11"/>
  <c r="L23" i="12" s="1"/>
  <c r="B23" i="12"/>
  <c r="P93" i="2" s="1"/>
  <c r="N93" i="2"/>
  <c r="P15" i="19"/>
  <c r="H14" i="19"/>
  <c r="C16" i="24"/>
  <c r="L14" i="19"/>
  <c r="E16" i="24"/>
  <c r="N13" i="19"/>
  <c r="F19" i="24"/>
  <c r="N14" i="19"/>
  <c r="F16" i="24"/>
  <c r="J14" i="19"/>
  <c r="D16" i="24"/>
  <c r="H13" i="19"/>
  <c r="C19" i="24"/>
  <c r="D17" i="18"/>
  <c r="H17" i="18" s="1"/>
  <c r="G24" i="24"/>
  <c r="F13" i="19"/>
  <c r="B19" i="24"/>
  <c r="F14" i="19"/>
  <c r="P14" i="19" s="1"/>
  <c r="B16" i="24"/>
  <c r="E375" i="13"/>
  <c r="E376" i="13" s="1"/>
  <c r="E276" i="13"/>
  <c r="E277" i="13" s="1"/>
  <c r="Q12" i="9"/>
  <c r="U12" i="9" s="1"/>
  <c r="Q9" i="9"/>
  <c r="U9" i="9" s="1"/>
  <c r="D96" i="13"/>
  <c r="D97" i="13" s="1"/>
  <c r="P8" i="9"/>
  <c r="T8" i="9" s="1"/>
  <c r="P13" i="9"/>
  <c r="T13" i="9" s="1"/>
  <c r="P8" i="10"/>
  <c r="D91" i="13"/>
  <c r="D92" i="13" s="1"/>
  <c r="D119" i="13"/>
  <c r="N29" i="1"/>
  <c r="N23" i="9"/>
  <c r="N24" i="12"/>
  <c r="M24" i="11"/>
  <c r="N24" i="11" s="1"/>
  <c r="D89" i="13"/>
  <c r="D90" i="13" s="1"/>
  <c r="D56" i="13"/>
  <c r="D57" i="13" s="1"/>
  <c r="D98" i="13"/>
  <c r="D99" i="13" s="1"/>
  <c r="P14" i="9"/>
  <c r="D37" i="13" s="1"/>
  <c r="D84" i="13"/>
  <c r="D85" i="13" s="1"/>
  <c r="P53" i="10"/>
  <c r="D59" i="13"/>
  <c r="D60" i="13" s="1"/>
  <c r="P54" i="10"/>
  <c r="R12" i="9"/>
  <c r="B59" i="11"/>
  <c r="B15" i="11" s="1"/>
  <c r="B16" i="11" s="1"/>
  <c r="P9" i="9"/>
  <c r="T9" i="9" s="1"/>
  <c r="P12" i="9"/>
  <c r="D29" i="13" s="1"/>
  <c r="B59" i="10"/>
  <c r="B15" i="10" s="1"/>
  <c r="B16" i="10" s="1"/>
  <c r="M48" i="1"/>
  <c r="N48" i="1" s="1"/>
  <c r="M53" i="1"/>
  <c r="N53" i="1" s="1"/>
  <c r="M55" i="1"/>
  <c r="N55" i="1" s="1"/>
  <c r="M57" i="1"/>
  <c r="N57" i="1" s="1"/>
  <c r="M49" i="1"/>
  <c r="N49" i="1" s="1"/>
  <c r="M45" i="1"/>
  <c r="N45" i="1" s="1"/>
  <c r="M44" i="1"/>
  <c r="N44" i="1" s="1"/>
  <c r="D375" i="13"/>
  <c r="D376" i="13" s="1"/>
  <c r="M50" i="1"/>
  <c r="N50" i="1" s="1"/>
  <c r="M46" i="1"/>
  <c r="N46" i="1" s="1"/>
  <c r="M52" i="1"/>
  <c r="N52" i="1" s="1"/>
  <c r="M54" i="1"/>
  <c r="N54" i="1" s="1"/>
  <c r="M56" i="1"/>
  <c r="N56" i="1" s="1"/>
  <c r="M58" i="1"/>
  <c r="N58" i="1" s="1"/>
  <c r="M51" i="1"/>
  <c r="N51" i="1" s="1"/>
  <c r="M47" i="1"/>
  <c r="N47" i="1" s="1"/>
  <c r="D274" i="13"/>
  <c r="D275" i="13" s="1"/>
  <c r="P44" i="9"/>
  <c r="T44" i="9" s="1"/>
  <c r="L14" i="9"/>
  <c r="Q14" i="9"/>
  <c r="U14" i="9" s="1"/>
  <c r="P7" i="9"/>
  <c r="T7" i="9" s="1"/>
  <c r="D77" i="13"/>
  <c r="D78" i="13" s="1"/>
  <c r="F103" i="13"/>
  <c r="E8" i="24" s="1"/>
  <c r="D297" i="13"/>
  <c r="D298" i="13" s="1"/>
  <c r="D347" i="13"/>
  <c r="D348" i="13" s="1"/>
  <c r="G106" i="13"/>
  <c r="F10" i="24" s="1"/>
  <c r="F106" i="13"/>
  <c r="E10" i="24" s="1"/>
  <c r="T56" i="9"/>
  <c r="T45" i="9"/>
  <c r="D49" i="13"/>
  <c r="D50" i="13" s="1"/>
  <c r="D276" i="13"/>
  <c r="D277" i="13" s="1"/>
  <c r="D311" i="13"/>
  <c r="D312" i="13" s="1"/>
  <c r="D368" i="13"/>
  <c r="D369" i="13" s="1"/>
  <c r="D120" i="13"/>
  <c r="N25" i="10"/>
  <c r="L25" i="12"/>
  <c r="M25" i="10"/>
  <c r="M25" i="11"/>
  <c r="N25" i="11" s="1"/>
  <c r="D70" i="13"/>
  <c r="D71" i="13" s="1"/>
  <c r="T48" i="9"/>
  <c r="E103" i="13"/>
  <c r="D8" i="24" s="1"/>
  <c r="T52" i="9"/>
  <c r="U48" i="9"/>
  <c r="N26" i="9"/>
  <c r="V15" i="1"/>
  <c r="P57" i="10"/>
  <c r="E368" i="13"/>
  <c r="E369" i="13" s="1"/>
  <c r="D325" i="13"/>
  <c r="D326" i="13" s="1"/>
  <c r="M23" i="10"/>
  <c r="N23" i="10" s="1"/>
  <c r="W4" i="23" s="1"/>
  <c r="D290" i="13"/>
  <c r="D291" i="13" s="1"/>
  <c r="P11" i="10"/>
  <c r="P58" i="10"/>
  <c r="D239" i="13"/>
  <c r="U52" i="9"/>
  <c r="M25" i="12"/>
  <c r="M22" i="12"/>
  <c r="N22" i="12" s="1"/>
  <c r="G107" i="13"/>
  <c r="P44" i="10"/>
  <c r="L21" i="11"/>
  <c r="N21" i="10"/>
  <c r="M21" i="10"/>
  <c r="E105" i="13"/>
  <c r="P10" i="9"/>
  <c r="M26" i="10"/>
  <c r="N26" i="10" s="1"/>
  <c r="L26" i="11"/>
  <c r="P11" i="9"/>
  <c r="P46" i="9"/>
  <c r="P51" i="9"/>
  <c r="Q56" i="9"/>
  <c r="P58" i="9"/>
  <c r="D340" i="13"/>
  <c r="P53" i="9"/>
  <c r="P50" i="9"/>
  <c r="P55" i="9"/>
  <c r="P47" i="9"/>
  <c r="Q45" i="9"/>
  <c r="R48" i="9"/>
  <c r="P54" i="9"/>
  <c r="P57" i="9"/>
  <c r="P49" i="9"/>
  <c r="R52" i="9"/>
  <c r="G13" i="8"/>
  <c r="H127" i="13"/>
  <c r="C265" i="13"/>
  <c r="C38" i="13" s="1"/>
  <c r="B4" i="24" s="1"/>
  <c r="D111" i="13"/>
  <c r="D112" i="13"/>
  <c r="C40" i="13"/>
  <c r="B6" i="24" s="1"/>
  <c r="C266" i="13"/>
  <c r="C39" i="13" s="1"/>
  <c r="B5" i="24" s="1"/>
  <c r="W15" i="1"/>
  <c r="H133" i="13"/>
  <c r="H201" i="13"/>
  <c r="H128" i="13"/>
  <c r="G202" i="13"/>
  <c r="G146" i="13" s="1"/>
  <c r="W59" i="1"/>
  <c r="V59" i="1"/>
  <c r="U59" i="1"/>
  <c r="E202" i="13"/>
  <c r="E147" i="13" s="1"/>
  <c r="H198" i="13"/>
  <c r="H200" i="13"/>
  <c r="H196" i="13"/>
  <c r="D202" i="13"/>
  <c r="H192" i="13"/>
  <c r="H188" i="13"/>
  <c r="H140" i="13"/>
  <c r="C202" i="13"/>
  <c r="F202" i="13"/>
  <c r="H194" i="13"/>
  <c r="H190" i="13"/>
  <c r="H186" i="13"/>
  <c r="D362" i="13"/>
  <c r="D360" i="13"/>
  <c r="D355" i="13"/>
  <c r="D334" i="13"/>
  <c r="D332" i="13"/>
  <c r="D330" i="13"/>
  <c r="D319" i="13"/>
  <c r="D305" i="13"/>
  <c r="D303" i="13"/>
  <c r="D284" i="13"/>
  <c r="D282" i="13"/>
  <c r="D301" i="13"/>
  <c r="D16" i="13" l="1"/>
  <c r="P13" i="19"/>
  <c r="D28" i="13"/>
  <c r="B29" i="12"/>
  <c r="F7" i="8" s="1"/>
  <c r="D153" i="13"/>
  <c r="C32" i="24" s="1"/>
  <c r="J48" i="2"/>
  <c r="D157" i="13"/>
  <c r="R45" i="2"/>
  <c r="D13" i="13"/>
  <c r="D61" i="13"/>
  <c r="D62" i="13" s="1"/>
  <c r="E345" i="13"/>
  <c r="E346" i="13" s="1"/>
  <c r="F340" i="13"/>
  <c r="F341" i="13" s="1"/>
  <c r="E77" i="13"/>
  <c r="E78" i="13" s="1"/>
  <c r="D33" i="13"/>
  <c r="AC11" i="23"/>
  <c r="AC6" i="23"/>
  <c r="AC9" i="23"/>
  <c r="H107" i="13"/>
  <c r="G11" i="24" s="1"/>
  <c r="F11" i="24"/>
  <c r="E111" i="13"/>
  <c r="D9" i="24"/>
  <c r="D82" i="13"/>
  <c r="D83" i="13" s="1"/>
  <c r="D15" i="18"/>
  <c r="H15" i="18" s="1"/>
  <c r="G19" i="24"/>
  <c r="G161" i="13"/>
  <c r="F26" i="24"/>
  <c r="E162" i="13"/>
  <c r="D27" i="24"/>
  <c r="D16" i="18"/>
  <c r="H16" i="18" s="1"/>
  <c r="G16" i="24"/>
  <c r="F49" i="13"/>
  <c r="P49" i="10"/>
  <c r="E228" i="13" s="1"/>
  <c r="P50" i="10"/>
  <c r="E232" i="13" s="1"/>
  <c r="E338" i="13"/>
  <c r="E339" i="13" s="1"/>
  <c r="E283" i="13"/>
  <c r="E284" i="13" s="1"/>
  <c r="P47" i="10"/>
  <c r="T47" i="10" s="1"/>
  <c r="E84" i="13"/>
  <c r="E85" i="13" s="1"/>
  <c r="E56" i="13"/>
  <c r="E57" i="13" s="1"/>
  <c r="P55" i="10"/>
  <c r="T55" i="10" s="1"/>
  <c r="Y14" i="9"/>
  <c r="Y9" i="9"/>
  <c r="Y12" i="9"/>
  <c r="Z14" i="9"/>
  <c r="Z9" i="9"/>
  <c r="Z12" i="9"/>
  <c r="D47" i="13"/>
  <c r="D48" i="13" s="1"/>
  <c r="E295" i="13"/>
  <c r="E296" i="13" s="1"/>
  <c r="E91" i="13"/>
  <c r="E92" i="13" s="1"/>
  <c r="Q13" i="9"/>
  <c r="U13" i="9" s="1"/>
  <c r="P12" i="10"/>
  <c r="E29" i="13" s="1"/>
  <c r="E281" i="13"/>
  <c r="P45" i="10"/>
  <c r="E212" i="13" s="1"/>
  <c r="P7" i="10"/>
  <c r="E9" i="13" s="1"/>
  <c r="Q55" i="10"/>
  <c r="N29" i="9"/>
  <c r="E98" i="13"/>
  <c r="E99" i="13" s="1"/>
  <c r="N25" i="12"/>
  <c r="T14" i="9"/>
  <c r="P50" i="12"/>
  <c r="E96" i="13"/>
  <c r="P13" i="10"/>
  <c r="D94" i="13"/>
  <c r="D95" i="13" s="1"/>
  <c r="P14" i="10"/>
  <c r="T14" i="10" s="1"/>
  <c r="L12" i="9"/>
  <c r="D17" i="13"/>
  <c r="E340" i="13"/>
  <c r="E341" i="13" s="1"/>
  <c r="D52" i="13"/>
  <c r="D53" i="13" s="1"/>
  <c r="L13" i="9"/>
  <c r="L9" i="9"/>
  <c r="E318" i="13"/>
  <c r="E319" i="13" s="1"/>
  <c r="Q8" i="9"/>
  <c r="D12" i="13" s="1"/>
  <c r="R9" i="9"/>
  <c r="D15" i="13" s="1"/>
  <c r="G103" i="13"/>
  <c r="D54" i="13"/>
  <c r="D55" i="13" s="1"/>
  <c r="E311" i="13"/>
  <c r="E312" i="13" s="1"/>
  <c r="E297" i="13"/>
  <c r="E298" i="13" s="1"/>
  <c r="E354" i="13"/>
  <c r="E355" i="13" s="1"/>
  <c r="E347" i="13"/>
  <c r="E348" i="13" s="1"/>
  <c r="N15" i="1"/>
  <c r="N16" i="1" s="1"/>
  <c r="N30" i="1" s="1"/>
  <c r="V12" i="9"/>
  <c r="D27" i="13"/>
  <c r="T12" i="9"/>
  <c r="D80" i="13"/>
  <c r="D81" i="13" s="1"/>
  <c r="D36" i="13"/>
  <c r="H106" i="13"/>
  <c r="G10" i="24" s="1"/>
  <c r="Q7" i="9"/>
  <c r="U7" i="9" s="1"/>
  <c r="R14" i="9"/>
  <c r="V14" i="9" s="1"/>
  <c r="Q11" i="10"/>
  <c r="N59" i="1"/>
  <c r="E309" i="13"/>
  <c r="E310" i="13" s="1"/>
  <c r="D208" i="13"/>
  <c r="Q44" i="9"/>
  <c r="E49" i="13"/>
  <c r="E50" i="13" s="1"/>
  <c r="D9" i="13"/>
  <c r="E112" i="13"/>
  <c r="T8" i="10"/>
  <c r="E13" i="13"/>
  <c r="Q8" i="10"/>
  <c r="U8" i="10" s="1"/>
  <c r="E54" i="13"/>
  <c r="E55" i="13" s="1"/>
  <c r="Q54" i="10"/>
  <c r="Q57" i="10"/>
  <c r="E366" i="13"/>
  <c r="E367" i="13" s="1"/>
  <c r="Q58" i="10"/>
  <c r="E373" i="13"/>
  <c r="E374" i="13" s="1"/>
  <c r="Q47" i="10"/>
  <c r="Q53" i="10"/>
  <c r="E82" i="13"/>
  <c r="P9" i="10"/>
  <c r="E63" i="13"/>
  <c r="T10" i="9"/>
  <c r="D21" i="13"/>
  <c r="L21" i="12"/>
  <c r="M21" i="11"/>
  <c r="N21" i="11" s="1"/>
  <c r="F105" i="13"/>
  <c r="E9" i="24" s="1"/>
  <c r="P54" i="11"/>
  <c r="P11" i="11"/>
  <c r="F77" i="13"/>
  <c r="T54" i="10"/>
  <c r="E248" i="13"/>
  <c r="P51" i="11"/>
  <c r="F325" i="13"/>
  <c r="F326" i="13" s="1"/>
  <c r="P8" i="11"/>
  <c r="F56" i="13"/>
  <c r="P44" i="11"/>
  <c r="F276" i="13"/>
  <c r="P48" i="10"/>
  <c r="E304" i="13"/>
  <c r="T53" i="10"/>
  <c r="E244" i="13"/>
  <c r="E264" i="13"/>
  <c r="T58" i="10"/>
  <c r="E260" i="13"/>
  <c r="T57" i="10"/>
  <c r="P49" i="11"/>
  <c r="F311" i="13"/>
  <c r="P50" i="11"/>
  <c r="P47" i="11"/>
  <c r="F297" i="13"/>
  <c r="M26" i="11"/>
  <c r="N26" i="11"/>
  <c r="L26" i="12"/>
  <c r="F108" i="13"/>
  <c r="E12" i="24" s="1"/>
  <c r="P46" i="11"/>
  <c r="F290" i="13"/>
  <c r="F291" i="13" s="1"/>
  <c r="Q44" i="10"/>
  <c r="E274" i="13"/>
  <c r="L44" i="10"/>
  <c r="P45" i="11"/>
  <c r="F283" i="13"/>
  <c r="P56" i="10"/>
  <c r="E361" i="13"/>
  <c r="T11" i="10"/>
  <c r="E25" i="13"/>
  <c r="E119" i="13"/>
  <c r="P51" i="10"/>
  <c r="E325" i="13"/>
  <c r="P12" i="11"/>
  <c r="F84" i="13"/>
  <c r="P10" i="10"/>
  <c r="E70" i="13"/>
  <c r="P7" i="11"/>
  <c r="P52" i="10"/>
  <c r="E333" i="13"/>
  <c r="Q45" i="10"/>
  <c r="L45" i="10"/>
  <c r="P57" i="11"/>
  <c r="F368" i="13"/>
  <c r="E120" i="13"/>
  <c r="P53" i="11"/>
  <c r="Q10" i="9"/>
  <c r="L10" i="9"/>
  <c r="D68" i="13"/>
  <c r="N29" i="10"/>
  <c r="T44" i="10"/>
  <c r="E208" i="13"/>
  <c r="P55" i="11"/>
  <c r="F354" i="13"/>
  <c r="F347" i="13"/>
  <c r="P46" i="10"/>
  <c r="E290" i="13"/>
  <c r="M23" i="11"/>
  <c r="N23" i="11" s="1"/>
  <c r="X4" i="23" s="1"/>
  <c r="F102" i="13"/>
  <c r="E7" i="24" s="1"/>
  <c r="P58" i="11"/>
  <c r="F375" i="13"/>
  <c r="Q57" i="9"/>
  <c r="L57" i="10"/>
  <c r="D366" i="13"/>
  <c r="D248" i="13"/>
  <c r="T54" i="9"/>
  <c r="Q53" i="9"/>
  <c r="D338" i="13"/>
  <c r="R56" i="9"/>
  <c r="D357" i="13"/>
  <c r="D236" i="13"/>
  <c r="T51" i="9"/>
  <c r="D228" i="13"/>
  <c r="T49" i="9"/>
  <c r="D260" i="13"/>
  <c r="T57" i="9"/>
  <c r="D222" i="13"/>
  <c r="V48" i="9"/>
  <c r="M48" i="9" s="1"/>
  <c r="N48" i="9" s="1"/>
  <c r="D211" i="13"/>
  <c r="U45" i="9"/>
  <c r="D252" i="13"/>
  <c r="T55" i="9"/>
  <c r="Q50" i="9"/>
  <c r="D316" i="13"/>
  <c r="D244" i="13"/>
  <c r="T53" i="9"/>
  <c r="Q58" i="9"/>
  <c r="D373" i="13"/>
  <c r="D255" i="13"/>
  <c r="U56" i="9"/>
  <c r="Z11" i="9"/>
  <c r="Q11" i="9"/>
  <c r="D75" i="13"/>
  <c r="Q49" i="9"/>
  <c r="D309" i="13"/>
  <c r="R45" i="9"/>
  <c r="D279" i="13"/>
  <c r="Q47" i="9"/>
  <c r="L47" i="10"/>
  <c r="D295" i="13"/>
  <c r="Q55" i="9"/>
  <c r="D352" i="13"/>
  <c r="D232" i="13"/>
  <c r="T50" i="9"/>
  <c r="D341" i="13"/>
  <c r="D264" i="13"/>
  <c r="T58" i="9"/>
  <c r="Q46" i="9"/>
  <c r="D288" i="13"/>
  <c r="T11" i="9"/>
  <c r="D25" i="13"/>
  <c r="P15" i="9"/>
  <c r="D238" i="13"/>
  <c r="V52" i="9"/>
  <c r="M52" i="9" s="1"/>
  <c r="N52" i="9" s="1"/>
  <c r="R13" i="9"/>
  <c r="L54" i="10"/>
  <c r="Q54" i="9"/>
  <c r="D345" i="13"/>
  <c r="D220" i="13"/>
  <c r="T47" i="9"/>
  <c r="Q51" i="9"/>
  <c r="D323" i="13"/>
  <c r="D216" i="13"/>
  <c r="T46" i="9"/>
  <c r="P59" i="9"/>
  <c r="C118" i="13"/>
  <c r="G147" i="13"/>
  <c r="C268" i="13"/>
  <c r="E146" i="13"/>
  <c r="D26" i="24" s="1"/>
  <c r="C41" i="13"/>
  <c r="C114" i="13" s="1"/>
  <c r="C117" i="13"/>
  <c r="D146" i="13"/>
  <c r="D147" i="13"/>
  <c r="F146" i="13"/>
  <c r="F147" i="13"/>
  <c r="C146" i="13"/>
  <c r="H202" i="13"/>
  <c r="C147" i="13"/>
  <c r="T12" i="10" l="1"/>
  <c r="T50" i="10"/>
  <c r="E220" i="13"/>
  <c r="T49" i="10"/>
  <c r="E252" i="13"/>
  <c r="C36" i="24"/>
  <c r="H157" i="13"/>
  <c r="G36" i="24" s="1"/>
  <c r="D160" i="13"/>
  <c r="E89" i="13"/>
  <c r="E90" i="13" s="1"/>
  <c r="Q13" i="10"/>
  <c r="E32" i="13" s="1"/>
  <c r="AC10" i="23"/>
  <c r="Y7" i="9"/>
  <c r="AC4" i="23"/>
  <c r="AC5" i="23"/>
  <c r="AC7" i="23"/>
  <c r="AC8" i="23"/>
  <c r="H103" i="13"/>
  <c r="G8" i="24" s="1"/>
  <c r="F8" i="24"/>
  <c r="D87" i="13"/>
  <c r="D88" i="13" s="1"/>
  <c r="F161" i="13"/>
  <c r="E26" i="24"/>
  <c r="D162" i="13"/>
  <c r="C27" i="24"/>
  <c r="B27" i="24"/>
  <c r="C161" i="13"/>
  <c r="B26" i="24"/>
  <c r="D161" i="13"/>
  <c r="C26" i="24"/>
  <c r="F162" i="13"/>
  <c r="E27" i="24"/>
  <c r="G162" i="13"/>
  <c r="G163" i="13" s="1"/>
  <c r="F27" i="24"/>
  <c r="F318" i="13"/>
  <c r="F319" i="13" s="1"/>
  <c r="L13" i="11"/>
  <c r="Y47" i="10"/>
  <c r="AD15" i="23" s="1"/>
  <c r="Y54" i="10"/>
  <c r="AD22" i="23" s="1"/>
  <c r="Y57" i="10"/>
  <c r="AD25" i="23" s="1"/>
  <c r="Y45" i="10"/>
  <c r="AD13" i="23" s="1"/>
  <c r="Y44" i="10"/>
  <c r="AD12" i="23" s="1"/>
  <c r="Y13" i="9"/>
  <c r="Y11" i="9"/>
  <c r="Y8" i="9"/>
  <c r="Y10" i="9"/>
  <c r="Z7" i="9"/>
  <c r="Z8" i="9"/>
  <c r="Z10" i="9"/>
  <c r="Z13" i="9"/>
  <c r="L7" i="9"/>
  <c r="T7" i="10"/>
  <c r="E352" i="13"/>
  <c r="E353" i="13" s="1"/>
  <c r="G318" i="13"/>
  <c r="G319" i="13" s="1"/>
  <c r="T45" i="10"/>
  <c r="L55" i="10"/>
  <c r="D32" i="13"/>
  <c r="L14" i="10"/>
  <c r="Y11" i="10"/>
  <c r="AD8" i="23" s="1"/>
  <c r="R13" i="10"/>
  <c r="Q12" i="10"/>
  <c r="E28" i="13" s="1"/>
  <c r="L12" i="10"/>
  <c r="M14" i="9"/>
  <c r="N14" i="9" s="1"/>
  <c r="L50" i="10"/>
  <c r="R49" i="10"/>
  <c r="G34" i="11"/>
  <c r="G35" i="11"/>
  <c r="L7" i="10"/>
  <c r="E47" i="13"/>
  <c r="E48" i="13" s="1"/>
  <c r="Q7" i="10"/>
  <c r="U7" i="10" s="1"/>
  <c r="Q50" i="10"/>
  <c r="E231" i="13" s="1"/>
  <c r="V9" i="9"/>
  <c r="M9" i="9" s="1"/>
  <c r="N9" i="9" s="1"/>
  <c r="E37" i="13"/>
  <c r="D35" i="13"/>
  <c r="Q49" i="10"/>
  <c r="U49" i="10" s="1"/>
  <c r="Q14" i="10"/>
  <c r="U14" i="10" s="1"/>
  <c r="T13" i="10"/>
  <c r="E33" i="13"/>
  <c r="L11" i="10"/>
  <c r="P13" i="11"/>
  <c r="F91" i="13"/>
  <c r="F92" i="13" s="1"/>
  <c r="P14" i="11"/>
  <c r="F98" i="13"/>
  <c r="F99" i="13" s="1"/>
  <c r="L13" i="10"/>
  <c r="R8" i="9"/>
  <c r="U8" i="9"/>
  <c r="L11" i="9"/>
  <c r="L8" i="9"/>
  <c r="H5" i="8"/>
  <c r="M12" i="9"/>
  <c r="N12" i="9" s="1"/>
  <c r="E75" i="13"/>
  <c r="E76" i="13" s="1"/>
  <c r="E316" i="13"/>
  <c r="E317" i="13" s="1"/>
  <c r="L53" i="10"/>
  <c r="D45" i="13"/>
  <c r="D46" i="13" s="1"/>
  <c r="D8" i="13"/>
  <c r="T15" i="9"/>
  <c r="D207" i="13"/>
  <c r="U44" i="9"/>
  <c r="D272" i="13"/>
  <c r="D273" i="13" s="1"/>
  <c r="R44" i="9"/>
  <c r="R7" i="9"/>
  <c r="V7" i="9" s="1"/>
  <c r="R14" i="10"/>
  <c r="Q14" i="11"/>
  <c r="E97" i="13"/>
  <c r="R54" i="10"/>
  <c r="E343" i="13"/>
  <c r="E344" i="13" s="1"/>
  <c r="R47" i="10"/>
  <c r="E293" i="13"/>
  <c r="E294" i="13" s="1"/>
  <c r="R11" i="10"/>
  <c r="R57" i="10"/>
  <c r="E364" i="13"/>
  <c r="E365" i="13" s="1"/>
  <c r="Q51" i="11"/>
  <c r="F323" i="13"/>
  <c r="F324" i="13" s="1"/>
  <c r="F376" i="13"/>
  <c r="F112" i="13"/>
  <c r="P48" i="11"/>
  <c r="F304" i="13"/>
  <c r="F305" i="13" s="1"/>
  <c r="D20" i="13"/>
  <c r="U10" i="9"/>
  <c r="F260" i="13"/>
  <c r="T57" i="11"/>
  <c r="E211" i="13"/>
  <c r="U45" i="10"/>
  <c r="Q52" i="10"/>
  <c r="L52" i="10"/>
  <c r="E331" i="13"/>
  <c r="E71" i="13"/>
  <c r="T12" i="11"/>
  <c r="F29" i="13"/>
  <c r="T51" i="10"/>
  <c r="E236" i="13"/>
  <c r="P55" i="12"/>
  <c r="G347" i="13"/>
  <c r="G348" i="13" s="1"/>
  <c r="G354" i="13"/>
  <c r="G355" i="13" s="1"/>
  <c r="Y47" i="11"/>
  <c r="AE15" i="23" s="1"/>
  <c r="Q47" i="11"/>
  <c r="F295" i="13"/>
  <c r="F296" i="13" s="1"/>
  <c r="F63" i="13"/>
  <c r="F64" i="13" s="1"/>
  <c r="P9" i="11"/>
  <c r="Q49" i="11"/>
  <c r="E305" i="13"/>
  <c r="F277" i="13"/>
  <c r="Y11" i="11"/>
  <c r="AE8" i="23" s="1"/>
  <c r="Q11" i="11"/>
  <c r="F75" i="13"/>
  <c r="F76" i="13" s="1"/>
  <c r="P46" i="12"/>
  <c r="G290" i="13"/>
  <c r="G291" i="13" s="1"/>
  <c r="P47" i="12"/>
  <c r="G297" i="13"/>
  <c r="G298" i="13" s="1"/>
  <c r="E83" i="13"/>
  <c r="F264" i="13"/>
  <c r="T58" i="11"/>
  <c r="E291" i="13"/>
  <c r="F355" i="13"/>
  <c r="P45" i="12"/>
  <c r="G283" i="13"/>
  <c r="G284" i="13" s="1"/>
  <c r="F50" i="13"/>
  <c r="L10" i="10"/>
  <c r="Q10" i="10"/>
  <c r="E68" i="13"/>
  <c r="E69" i="13" s="1"/>
  <c r="F85" i="13"/>
  <c r="E362" i="13"/>
  <c r="F284" i="13"/>
  <c r="R44" i="10"/>
  <c r="E272" i="13"/>
  <c r="F120" i="13"/>
  <c r="Q50" i="11"/>
  <c r="F316" i="13"/>
  <c r="F317" i="13" s="1"/>
  <c r="F228" i="13"/>
  <c r="T49" i="11"/>
  <c r="Q48" i="10"/>
  <c r="L48" i="10"/>
  <c r="E302" i="13"/>
  <c r="F208" i="13"/>
  <c r="T44" i="11"/>
  <c r="P54" i="12"/>
  <c r="F57" i="13"/>
  <c r="P57" i="12"/>
  <c r="G368" i="13"/>
  <c r="G369" i="13" s="1"/>
  <c r="P58" i="12"/>
  <c r="G375" i="13"/>
  <c r="G376" i="13" s="1"/>
  <c r="F25" i="13"/>
  <c r="T11" i="11"/>
  <c r="P56" i="11"/>
  <c r="F361" i="13"/>
  <c r="F362" i="13" s="1"/>
  <c r="M21" i="12"/>
  <c r="N21" i="12" s="1"/>
  <c r="G105" i="13"/>
  <c r="T9" i="10"/>
  <c r="E17" i="13"/>
  <c r="E243" i="13"/>
  <c r="U53" i="10"/>
  <c r="E263" i="13"/>
  <c r="U58" i="10"/>
  <c r="E259" i="13"/>
  <c r="U57" i="10"/>
  <c r="Y58" i="11"/>
  <c r="AE26" i="23" s="1"/>
  <c r="Q58" i="11"/>
  <c r="F373" i="13"/>
  <c r="F374" i="13" s="1"/>
  <c r="M23" i="12"/>
  <c r="N23" i="12" s="1"/>
  <c r="Y4" i="23" s="1"/>
  <c r="G102" i="13"/>
  <c r="F7" i="24" s="1"/>
  <c r="L46" i="10"/>
  <c r="Q46" i="10"/>
  <c r="E288" i="13"/>
  <c r="E289" i="13" s="1"/>
  <c r="F348" i="13"/>
  <c r="F252" i="13"/>
  <c r="T55" i="11"/>
  <c r="D69" i="13"/>
  <c r="Q53" i="11"/>
  <c r="F338" i="13"/>
  <c r="F339" i="13" s="1"/>
  <c r="F369" i="13"/>
  <c r="E282" i="13"/>
  <c r="E334" i="13"/>
  <c r="E21" i="13"/>
  <c r="T10" i="10"/>
  <c r="P12" i="12"/>
  <c r="G84" i="13"/>
  <c r="G85" i="13" s="1"/>
  <c r="E326" i="13"/>
  <c r="E256" i="13"/>
  <c r="T56" i="10"/>
  <c r="P44" i="12"/>
  <c r="G276" i="13"/>
  <c r="G277" i="13" s="1"/>
  <c r="Y45" i="11"/>
  <c r="AE13" i="23" s="1"/>
  <c r="Q45" i="11"/>
  <c r="F281" i="13"/>
  <c r="F282" i="13" s="1"/>
  <c r="E275" i="13"/>
  <c r="P8" i="12"/>
  <c r="G56" i="13"/>
  <c r="G57" i="13" s="1"/>
  <c r="F298" i="13"/>
  <c r="F232" i="13"/>
  <c r="T50" i="11"/>
  <c r="T48" i="10"/>
  <c r="E224" i="13"/>
  <c r="Q44" i="11"/>
  <c r="Y44" i="11"/>
  <c r="AE12" i="23" s="1"/>
  <c r="F274" i="13"/>
  <c r="F275" i="13" s="1"/>
  <c r="P15" i="10"/>
  <c r="T8" i="11"/>
  <c r="F13" i="13"/>
  <c r="G340" i="13"/>
  <c r="P53" i="12"/>
  <c r="P52" i="11"/>
  <c r="F333" i="13"/>
  <c r="F334" i="13" s="1"/>
  <c r="P11" i="12"/>
  <c r="G77" i="13"/>
  <c r="G78" i="13" s="1"/>
  <c r="F248" i="13"/>
  <c r="T54" i="11"/>
  <c r="F111" i="13"/>
  <c r="N29" i="11"/>
  <c r="P51" i="12"/>
  <c r="G325" i="13"/>
  <c r="G326" i="13" s="1"/>
  <c r="Q9" i="10"/>
  <c r="L9" i="10"/>
  <c r="E61" i="13"/>
  <c r="G232" i="13"/>
  <c r="T50" i="12"/>
  <c r="E219" i="13"/>
  <c r="U47" i="10"/>
  <c r="U11" i="10"/>
  <c r="E24" i="13"/>
  <c r="E251" i="13"/>
  <c r="U55" i="10"/>
  <c r="E247" i="13"/>
  <c r="U54" i="10"/>
  <c r="F119" i="13"/>
  <c r="T46" i="10"/>
  <c r="E216" i="13"/>
  <c r="Q55" i="11"/>
  <c r="F352" i="13"/>
  <c r="F353" i="13" s="1"/>
  <c r="P59" i="10"/>
  <c r="D66" i="13"/>
  <c r="R10" i="9"/>
  <c r="F244" i="13"/>
  <c r="T53" i="11"/>
  <c r="Y57" i="11"/>
  <c r="AE25" i="23" s="1"/>
  <c r="Q57" i="11"/>
  <c r="F366" i="13"/>
  <c r="F367" i="13" s="1"/>
  <c r="R45" i="10"/>
  <c r="E279" i="13"/>
  <c r="E280" i="13" s="1"/>
  <c r="T52" i="10"/>
  <c r="E240" i="13"/>
  <c r="P49" i="12"/>
  <c r="G311" i="13"/>
  <c r="G312" i="13" s="1"/>
  <c r="T7" i="11"/>
  <c r="F9" i="13"/>
  <c r="Y12" i="11"/>
  <c r="AE9" i="23" s="1"/>
  <c r="Q12" i="11"/>
  <c r="F82" i="13"/>
  <c r="F83" i="13" s="1"/>
  <c r="Q51" i="10"/>
  <c r="L51" i="10"/>
  <c r="E323" i="13"/>
  <c r="E324" i="13" s="1"/>
  <c r="Q56" i="10"/>
  <c r="L56" i="10"/>
  <c r="E359" i="13"/>
  <c r="F212" i="13"/>
  <c r="T45" i="11"/>
  <c r="U44" i="10"/>
  <c r="E207" i="13"/>
  <c r="F216" i="13"/>
  <c r="T46" i="11"/>
  <c r="M26" i="12"/>
  <c r="G108" i="13"/>
  <c r="F220" i="13"/>
  <c r="T47" i="11"/>
  <c r="F312" i="13"/>
  <c r="P7" i="12"/>
  <c r="G49" i="13"/>
  <c r="G50" i="13" s="1"/>
  <c r="L8" i="11"/>
  <c r="Q8" i="11"/>
  <c r="U8" i="11" s="1"/>
  <c r="F54" i="13"/>
  <c r="F236" i="13"/>
  <c r="T51" i="11"/>
  <c r="P10" i="11"/>
  <c r="F70" i="13"/>
  <c r="F71" i="13" s="1"/>
  <c r="F78" i="13"/>
  <c r="Y54" i="11"/>
  <c r="AE22" i="23" s="1"/>
  <c r="Q54" i="11"/>
  <c r="F345" i="13"/>
  <c r="F346" i="13" s="1"/>
  <c r="E64" i="13"/>
  <c r="D247" i="13"/>
  <c r="U54" i="9"/>
  <c r="D310" i="13"/>
  <c r="U11" i="9"/>
  <c r="D24" i="13"/>
  <c r="R58" i="9"/>
  <c r="D371" i="13"/>
  <c r="D317" i="13"/>
  <c r="Q15" i="9"/>
  <c r="D367" i="13"/>
  <c r="R54" i="9"/>
  <c r="D343" i="13"/>
  <c r="D289" i="13"/>
  <c r="D353" i="13"/>
  <c r="D296" i="13"/>
  <c r="D280" i="13"/>
  <c r="D227" i="13"/>
  <c r="U49" i="9"/>
  <c r="R11" i="9"/>
  <c r="D73" i="13"/>
  <c r="D231" i="13"/>
  <c r="U50" i="9"/>
  <c r="Q59" i="9"/>
  <c r="D267" i="13"/>
  <c r="D339" i="13"/>
  <c r="R57" i="9"/>
  <c r="D364" i="13"/>
  <c r="R51" i="9"/>
  <c r="D321" i="13"/>
  <c r="V13" i="9"/>
  <c r="M13" i="9" s="1"/>
  <c r="N13" i="9" s="1"/>
  <c r="D31" i="13"/>
  <c r="R46" i="9"/>
  <c r="D286" i="13"/>
  <c r="R55" i="9"/>
  <c r="D350" i="13"/>
  <c r="R47" i="9"/>
  <c r="D293" i="13"/>
  <c r="D210" i="13"/>
  <c r="V45" i="9"/>
  <c r="M45" i="9" s="1"/>
  <c r="N45" i="9" s="1"/>
  <c r="R49" i="9"/>
  <c r="D307" i="13"/>
  <c r="D76" i="13"/>
  <c r="D374" i="13"/>
  <c r="R50" i="9"/>
  <c r="D314" i="13"/>
  <c r="D358" i="13"/>
  <c r="D243" i="13"/>
  <c r="U53" i="9"/>
  <c r="D259" i="13"/>
  <c r="U57" i="9"/>
  <c r="D324" i="13"/>
  <c r="T59" i="9"/>
  <c r="D235" i="13"/>
  <c r="U51" i="9"/>
  <c r="D346" i="13"/>
  <c r="D215" i="13"/>
  <c r="U46" i="9"/>
  <c r="D251" i="13"/>
  <c r="U55" i="9"/>
  <c r="D219" i="13"/>
  <c r="U47" i="9"/>
  <c r="D263" i="13"/>
  <c r="U58" i="9"/>
  <c r="D254" i="13"/>
  <c r="V56" i="9"/>
  <c r="M56" i="9" s="1"/>
  <c r="N56" i="9" s="1"/>
  <c r="R53" i="9"/>
  <c r="D336" i="13"/>
  <c r="C122" i="13"/>
  <c r="E161" i="13"/>
  <c r="E163" i="13" s="1"/>
  <c r="N16" i="19"/>
  <c r="J16" i="19"/>
  <c r="F16" i="19"/>
  <c r="L16" i="19"/>
  <c r="H16" i="19"/>
  <c r="H147" i="13"/>
  <c r="G27" i="24" s="1"/>
  <c r="H146" i="13"/>
  <c r="G26" i="24" s="1"/>
  <c r="U12" i="10" l="1"/>
  <c r="U13" i="10"/>
  <c r="C39" i="24"/>
  <c r="H160" i="13"/>
  <c r="G39" i="24" s="1"/>
  <c r="M7" i="9"/>
  <c r="N7" i="9" s="1"/>
  <c r="E94" i="13"/>
  <c r="E95" i="13" s="1"/>
  <c r="Y55" i="11"/>
  <c r="AE23" i="23" s="1"/>
  <c r="Y50" i="11"/>
  <c r="AE18" i="23" s="1"/>
  <c r="Q13" i="11"/>
  <c r="U13" i="11" s="1"/>
  <c r="F89" i="13"/>
  <c r="F90" i="13" s="1"/>
  <c r="L49" i="11"/>
  <c r="L50" i="11"/>
  <c r="L11" i="11"/>
  <c r="L57" i="11"/>
  <c r="L58" i="11"/>
  <c r="L54" i="11"/>
  <c r="L45" i="11"/>
  <c r="L44" i="11"/>
  <c r="L47" i="11"/>
  <c r="L14" i="11"/>
  <c r="L12" i="11"/>
  <c r="L55" i="11"/>
  <c r="H108" i="13"/>
  <c r="G12" i="24" s="1"/>
  <c r="F12" i="24"/>
  <c r="H105" i="13"/>
  <c r="G9" i="24" s="1"/>
  <c r="F9" i="24"/>
  <c r="E73" i="13"/>
  <c r="E74" i="13" s="1"/>
  <c r="D163" i="13"/>
  <c r="F163" i="13"/>
  <c r="F12" i="19"/>
  <c r="B15" i="24"/>
  <c r="Y14" i="11"/>
  <c r="AE11" i="23" s="1"/>
  <c r="Y8" i="11"/>
  <c r="AE5" i="23" s="1"/>
  <c r="L14" i="12"/>
  <c r="Y49" i="11"/>
  <c r="AE17" i="23" s="1"/>
  <c r="L58" i="10"/>
  <c r="Y58" i="10"/>
  <c r="AD26" i="23" s="1"/>
  <c r="Y50" i="10"/>
  <c r="AD18" i="23" s="1"/>
  <c r="Y7" i="10"/>
  <c r="AD4" i="23" s="1"/>
  <c r="Y55" i="10"/>
  <c r="AD23" i="23" s="1"/>
  <c r="Y10" i="10"/>
  <c r="AD7" i="23" s="1"/>
  <c r="Y12" i="10"/>
  <c r="AD9" i="23" s="1"/>
  <c r="Y9" i="10"/>
  <c r="AD6" i="23" s="1"/>
  <c r="Y56" i="10"/>
  <c r="AD24" i="23" s="1"/>
  <c r="L8" i="10"/>
  <c r="Y8" i="10"/>
  <c r="AD5" i="23" s="1"/>
  <c r="Y49" i="10"/>
  <c r="AD17" i="23" s="1"/>
  <c r="Y51" i="10"/>
  <c r="AD19" i="23" s="1"/>
  <c r="Y48" i="10"/>
  <c r="AD16" i="23" s="1"/>
  <c r="Y53" i="10"/>
  <c r="AD21" i="23" s="1"/>
  <c r="Y14" i="10"/>
  <c r="AD11" i="23" s="1"/>
  <c r="Y13" i="10"/>
  <c r="AD10" i="23" s="1"/>
  <c r="Y52" i="10"/>
  <c r="AD20" i="23" s="1"/>
  <c r="Y46" i="10"/>
  <c r="AD14" i="23" s="1"/>
  <c r="H318" i="13"/>
  <c r="E227" i="13"/>
  <c r="F309" i="13"/>
  <c r="F310" i="13" s="1"/>
  <c r="E307" i="13"/>
  <c r="E308" i="13" s="1"/>
  <c r="L49" i="10"/>
  <c r="R50" i="10"/>
  <c r="V50" i="10" s="1"/>
  <c r="R55" i="10"/>
  <c r="E250" i="13" s="1"/>
  <c r="E314" i="13"/>
  <c r="E315" i="13" s="1"/>
  <c r="E350" i="13"/>
  <c r="E351" i="13" s="1"/>
  <c r="E87" i="13"/>
  <c r="E88" i="13" s="1"/>
  <c r="E80" i="13"/>
  <c r="E81" i="13" s="1"/>
  <c r="R12" i="10"/>
  <c r="E27" i="13" s="1"/>
  <c r="F96" i="13"/>
  <c r="F97" i="13" s="1"/>
  <c r="U50" i="10"/>
  <c r="E45" i="13"/>
  <c r="E46" i="13" s="1"/>
  <c r="R7" i="10"/>
  <c r="V7" i="10" s="1"/>
  <c r="M7" i="10" s="1"/>
  <c r="N7" i="10" s="1"/>
  <c r="G34" i="12"/>
  <c r="G35" i="12"/>
  <c r="E8" i="13"/>
  <c r="Q7" i="11"/>
  <c r="U7" i="11" s="1"/>
  <c r="L7" i="11"/>
  <c r="F47" i="13"/>
  <c r="F48" i="13" s="1"/>
  <c r="R58" i="10"/>
  <c r="V58" i="10" s="1"/>
  <c r="E36" i="13"/>
  <c r="Q14" i="12"/>
  <c r="U14" i="12" s="1"/>
  <c r="T14" i="11"/>
  <c r="F37" i="13"/>
  <c r="L53" i="11"/>
  <c r="R53" i="10"/>
  <c r="V53" i="10" s="1"/>
  <c r="P15" i="11"/>
  <c r="T13" i="11"/>
  <c r="F33" i="13"/>
  <c r="R14" i="12"/>
  <c r="P14" i="12"/>
  <c r="G98" i="13"/>
  <c r="P13" i="12"/>
  <c r="G91" i="13"/>
  <c r="Q46" i="12"/>
  <c r="R8" i="10"/>
  <c r="E52" i="13"/>
  <c r="E53" i="13" s="1"/>
  <c r="E371" i="13"/>
  <c r="E372" i="13" s="1"/>
  <c r="V8" i="9"/>
  <c r="M8" i="9" s="1"/>
  <c r="N8" i="9" s="1"/>
  <c r="D11" i="13"/>
  <c r="E336" i="13"/>
  <c r="E337" i="13" s="1"/>
  <c r="V44" i="9"/>
  <c r="M44" i="9" s="1"/>
  <c r="N44" i="9" s="1"/>
  <c r="D206" i="13"/>
  <c r="D7" i="13"/>
  <c r="T15" i="10"/>
  <c r="U15" i="9"/>
  <c r="H77" i="13"/>
  <c r="H232" i="13"/>
  <c r="H283" i="13"/>
  <c r="H347" i="13"/>
  <c r="Q15" i="10"/>
  <c r="R15" i="9"/>
  <c r="H297" i="13"/>
  <c r="N26" i="12"/>
  <c r="N29" i="12" s="1"/>
  <c r="H368" i="13"/>
  <c r="H311" i="13"/>
  <c r="T59" i="10"/>
  <c r="H290" i="13"/>
  <c r="Q59" i="10"/>
  <c r="U14" i="11"/>
  <c r="F36" i="13"/>
  <c r="V14" i="10"/>
  <c r="M14" i="10" s="1"/>
  <c r="N14" i="10" s="1"/>
  <c r="E35" i="13"/>
  <c r="H354" i="13"/>
  <c r="R14" i="11"/>
  <c r="F94" i="13"/>
  <c r="R8" i="11"/>
  <c r="F52" i="13"/>
  <c r="E235" i="13"/>
  <c r="U51" i="10"/>
  <c r="R12" i="11"/>
  <c r="F80" i="13"/>
  <c r="F81" i="13" s="1"/>
  <c r="R49" i="12"/>
  <c r="Q49" i="12"/>
  <c r="G309" i="13"/>
  <c r="V13" i="10"/>
  <c r="M13" i="10" s="1"/>
  <c r="N13" i="10" s="1"/>
  <c r="E31" i="13"/>
  <c r="E62" i="13"/>
  <c r="F240" i="13"/>
  <c r="T52" i="11"/>
  <c r="R44" i="11"/>
  <c r="F272" i="13"/>
  <c r="F273" i="13" s="1"/>
  <c r="Y8" i="12"/>
  <c r="AF5" i="23" s="1"/>
  <c r="Q8" i="12"/>
  <c r="U8" i="12" s="1"/>
  <c r="G54" i="13"/>
  <c r="G55" i="13" s="1"/>
  <c r="R45" i="11"/>
  <c r="F279" i="13"/>
  <c r="Y44" i="12"/>
  <c r="AF12" i="23" s="1"/>
  <c r="AG12" i="23" s="1"/>
  <c r="Q44" i="12"/>
  <c r="G274" i="13"/>
  <c r="G275" i="13" s="1"/>
  <c r="H325" i="13"/>
  <c r="G29" i="13"/>
  <c r="H29" i="13" s="1"/>
  <c r="T12" i="12"/>
  <c r="U53" i="11"/>
  <c r="F243" i="13"/>
  <c r="G112" i="13"/>
  <c r="H112" i="13" s="1"/>
  <c r="F256" i="13"/>
  <c r="T56" i="11"/>
  <c r="G248" i="13"/>
  <c r="H248" i="13" s="1"/>
  <c r="T54" i="12"/>
  <c r="E303" i="13"/>
  <c r="R50" i="11"/>
  <c r="F314" i="13"/>
  <c r="F315" i="13" s="1"/>
  <c r="E206" i="13"/>
  <c r="V44" i="10"/>
  <c r="M44" i="10" s="1"/>
  <c r="N44" i="10" s="1"/>
  <c r="R10" i="10"/>
  <c r="E66" i="13"/>
  <c r="E67" i="13" s="1"/>
  <c r="P48" i="12"/>
  <c r="G304" i="13"/>
  <c r="U47" i="11"/>
  <c r="F219" i="13"/>
  <c r="E239" i="13"/>
  <c r="U52" i="10"/>
  <c r="F235" i="13"/>
  <c r="U51" i="11"/>
  <c r="V11" i="10"/>
  <c r="M11" i="10" s="1"/>
  <c r="N11" i="10" s="1"/>
  <c r="E23" i="13"/>
  <c r="E218" i="13"/>
  <c r="V47" i="10"/>
  <c r="M47" i="10" s="1"/>
  <c r="N47" i="10" s="1"/>
  <c r="U54" i="11"/>
  <c r="F247" i="13"/>
  <c r="P56" i="12"/>
  <c r="G361" i="13"/>
  <c r="G362" i="13" s="1"/>
  <c r="T7" i="12"/>
  <c r="G9" i="13"/>
  <c r="H9" i="13" s="1"/>
  <c r="E360" i="13"/>
  <c r="G228" i="13"/>
  <c r="H228" i="13" s="1"/>
  <c r="T49" i="12"/>
  <c r="F259" i="13"/>
  <c r="U57" i="11"/>
  <c r="V10" i="9"/>
  <c r="M10" i="9" s="1"/>
  <c r="N10" i="9" s="1"/>
  <c r="D19" i="13"/>
  <c r="U55" i="11"/>
  <c r="F251" i="13"/>
  <c r="R9" i="10"/>
  <c r="E59" i="13"/>
  <c r="Q51" i="12"/>
  <c r="G323" i="13"/>
  <c r="T11" i="12"/>
  <c r="G25" i="13"/>
  <c r="H25" i="13" s="1"/>
  <c r="Y52" i="11"/>
  <c r="AE20" i="23" s="1"/>
  <c r="Q52" i="11"/>
  <c r="F331" i="13"/>
  <c r="F332" i="13" s="1"/>
  <c r="Y53" i="12"/>
  <c r="AF21" i="23" s="1"/>
  <c r="Q53" i="12"/>
  <c r="G338" i="13"/>
  <c r="U44" i="11"/>
  <c r="F207" i="13"/>
  <c r="T44" i="12"/>
  <c r="G208" i="13"/>
  <c r="H208" i="13" s="1"/>
  <c r="R53" i="11"/>
  <c r="E215" i="13"/>
  <c r="U46" i="10"/>
  <c r="G119" i="13"/>
  <c r="H119" i="13" s="1"/>
  <c r="U58" i="11"/>
  <c r="F263" i="13"/>
  <c r="Y56" i="11"/>
  <c r="AE24" i="23" s="1"/>
  <c r="Q56" i="11"/>
  <c r="F359" i="13"/>
  <c r="F360" i="13" s="1"/>
  <c r="R57" i="12"/>
  <c r="Q57" i="12"/>
  <c r="G366" i="13"/>
  <c r="R48" i="10"/>
  <c r="E300" i="13"/>
  <c r="H49" i="13"/>
  <c r="Y47" i="12"/>
  <c r="AF15" i="23" s="1"/>
  <c r="AG15" i="23" s="1"/>
  <c r="Q47" i="12"/>
  <c r="G295" i="13"/>
  <c r="H276" i="13"/>
  <c r="T9" i="11"/>
  <c r="F17" i="13"/>
  <c r="R47" i="11"/>
  <c r="F293" i="13"/>
  <c r="F294" i="13" s="1"/>
  <c r="Y55" i="12"/>
  <c r="AF23" i="23" s="1"/>
  <c r="Q55" i="12"/>
  <c r="G352" i="13"/>
  <c r="H375" i="13"/>
  <c r="R54" i="11"/>
  <c r="F343" i="13"/>
  <c r="F344" i="13" s="1"/>
  <c r="Y10" i="11"/>
  <c r="AE7" i="23" s="1"/>
  <c r="F68" i="13"/>
  <c r="Q10" i="11"/>
  <c r="F55" i="13"/>
  <c r="G120" i="13"/>
  <c r="H120" i="13" s="1"/>
  <c r="R56" i="10"/>
  <c r="E357" i="13"/>
  <c r="V45" i="10"/>
  <c r="M45" i="10" s="1"/>
  <c r="N45" i="10" s="1"/>
  <c r="E210" i="13"/>
  <c r="R57" i="11"/>
  <c r="F364" i="13"/>
  <c r="F365" i="13" s="1"/>
  <c r="G364" i="13"/>
  <c r="G365" i="13" s="1"/>
  <c r="D67" i="13"/>
  <c r="R55" i="11"/>
  <c r="E16" i="13"/>
  <c r="U9" i="10"/>
  <c r="G236" i="13"/>
  <c r="T51" i="12"/>
  <c r="Y11" i="12"/>
  <c r="AF8" i="23" s="1"/>
  <c r="AG8" i="23" s="1"/>
  <c r="G75" i="13"/>
  <c r="Q11" i="12"/>
  <c r="T53" i="12"/>
  <c r="G244" i="13"/>
  <c r="H244" i="13" s="1"/>
  <c r="P9" i="12"/>
  <c r="G63" i="13"/>
  <c r="T8" i="12"/>
  <c r="G13" i="13"/>
  <c r="H13" i="13" s="1"/>
  <c r="R46" i="10"/>
  <c r="E286" i="13"/>
  <c r="E287" i="13" s="1"/>
  <c r="R58" i="11"/>
  <c r="F371" i="13"/>
  <c r="F372" i="13" s="1"/>
  <c r="Y50" i="12"/>
  <c r="AF18" i="23" s="1"/>
  <c r="Q50" i="12"/>
  <c r="G316" i="13"/>
  <c r="G111" i="13"/>
  <c r="H111" i="13" s="1"/>
  <c r="Y58" i="12"/>
  <c r="AF26" i="23" s="1"/>
  <c r="Q58" i="12"/>
  <c r="G373" i="13"/>
  <c r="G260" i="13"/>
  <c r="H260" i="13" s="1"/>
  <c r="T57" i="12"/>
  <c r="P59" i="11"/>
  <c r="E223" i="13"/>
  <c r="U48" i="10"/>
  <c r="Y45" i="12"/>
  <c r="AF13" i="23" s="1"/>
  <c r="AG13" i="23" s="1"/>
  <c r="Q45" i="12"/>
  <c r="G281" i="13"/>
  <c r="G282" i="13" s="1"/>
  <c r="G220" i="13"/>
  <c r="H220" i="13" s="1"/>
  <c r="T47" i="12"/>
  <c r="G216" i="13"/>
  <c r="H216" i="13" s="1"/>
  <c r="T46" i="12"/>
  <c r="U11" i="11"/>
  <c r="F24" i="13"/>
  <c r="R49" i="11"/>
  <c r="F307" i="13"/>
  <c r="F308" i="13" s="1"/>
  <c r="G307" i="13"/>
  <c r="G308" i="13" s="1"/>
  <c r="Y9" i="11"/>
  <c r="AE6" i="23" s="1"/>
  <c r="Q9" i="11"/>
  <c r="F61" i="13"/>
  <c r="F62" i="13" s="1"/>
  <c r="G252" i="13"/>
  <c r="H252" i="13" s="1"/>
  <c r="T55" i="12"/>
  <c r="E267" i="13"/>
  <c r="E40" i="13" s="1"/>
  <c r="D6" i="24" s="1"/>
  <c r="E332" i="13"/>
  <c r="F224" i="13"/>
  <c r="T48" i="11"/>
  <c r="V49" i="10"/>
  <c r="M49" i="10" s="1"/>
  <c r="N49" i="10" s="1"/>
  <c r="E226" i="13"/>
  <c r="V54" i="10"/>
  <c r="M54" i="10" s="1"/>
  <c r="N54" i="10" s="1"/>
  <c r="E246" i="13"/>
  <c r="U59" i="9"/>
  <c r="T10" i="11"/>
  <c r="F21" i="13"/>
  <c r="P52" i="12"/>
  <c r="G333" i="13"/>
  <c r="G334" i="13" s="1"/>
  <c r="E255" i="13"/>
  <c r="U56" i="10"/>
  <c r="R51" i="10"/>
  <c r="E321" i="13"/>
  <c r="E322" i="13" s="1"/>
  <c r="F28" i="13"/>
  <c r="U12" i="11"/>
  <c r="G341" i="13"/>
  <c r="H340" i="13"/>
  <c r="Q46" i="11"/>
  <c r="F288" i="13"/>
  <c r="U45" i="11"/>
  <c r="F211" i="13"/>
  <c r="Q12" i="12"/>
  <c r="G82" i="13"/>
  <c r="G83" i="13" s="1"/>
  <c r="R7" i="11"/>
  <c r="G264" i="13"/>
  <c r="H264" i="13" s="1"/>
  <c r="T58" i="12"/>
  <c r="G70" i="13"/>
  <c r="G71" i="13" s="1"/>
  <c r="P10" i="12"/>
  <c r="H56" i="13"/>
  <c r="Y54" i="12"/>
  <c r="AF22" i="23" s="1"/>
  <c r="AG22" i="23" s="1"/>
  <c r="Q54" i="12"/>
  <c r="G345" i="13"/>
  <c r="U50" i="11"/>
  <c r="F231" i="13"/>
  <c r="E273" i="13"/>
  <c r="H84" i="13"/>
  <c r="E20" i="13"/>
  <c r="U10" i="10"/>
  <c r="G212" i="13"/>
  <c r="H212" i="13" s="1"/>
  <c r="T45" i="12"/>
  <c r="R11" i="11"/>
  <c r="F73" i="13"/>
  <c r="F74" i="13" s="1"/>
  <c r="F227" i="13"/>
  <c r="U49" i="11"/>
  <c r="R52" i="10"/>
  <c r="E329" i="13"/>
  <c r="Y48" i="11"/>
  <c r="AE16" i="23" s="1"/>
  <c r="Q48" i="11"/>
  <c r="F302" i="13"/>
  <c r="F303" i="13" s="1"/>
  <c r="H102" i="13"/>
  <c r="G7" i="24" s="1"/>
  <c r="E258" i="13"/>
  <c r="V57" i="10"/>
  <c r="M57" i="10" s="1"/>
  <c r="N57" i="10" s="1"/>
  <c r="D242" i="13"/>
  <c r="V53" i="9"/>
  <c r="M53" i="9" s="1"/>
  <c r="N53" i="9" s="1"/>
  <c r="D315" i="13"/>
  <c r="D226" i="13"/>
  <c r="V49" i="9"/>
  <c r="M49" i="9" s="1"/>
  <c r="N49" i="9" s="1"/>
  <c r="D351" i="13"/>
  <c r="D214" i="13"/>
  <c r="V46" i="9"/>
  <c r="M46" i="9" s="1"/>
  <c r="N46" i="9" s="1"/>
  <c r="V11" i="9"/>
  <c r="M11" i="9" s="1"/>
  <c r="N11" i="9" s="1"/>
  <c r="D23" i="13"/>
  <c r="D262" i="13"/>
  <c r="V58" i="9"/>
  <c r="M58" i="9" s="1"/>
  <c r="N58" i="9" s="1"/>
  <c r="D266" i="13"/>
  <c r="D230" i="13"/>
  <c r="V50" i="9"/>
  <c r="M50" i="9" s="1"/>
  <c r="N50" i="9" s="1"/>
  <c r="D294" i="13"/>
  <c r="D250" i="13"/>
  <c r="V55" i="9"/>
  <c r="M55" i="9" s="1"/>
  <c r="N55" i="9" s="1"/>
  <c r="D365" i="13"/>
  <c r="D218" i="13"/>
  <c r="V47" i="9"/>
  <c r="M47" i="9" s="1"/>
  <c r="N47" i="9" s="1"/>
  <c r="D322" i="13"/>
  <c r="D40" i="13"/>
  <c r="C6" i="24" s="1"/>
  <c r="D344" i="13"/>
  <c r="R59" i="9"/>
  <c r="D258" i="13"/>
  <c r="V57" i="9"/>
  <c r="M57" i="9" s="1"/>
  <c r="N57" i="9" s="1"/>
  <c r="D337" i="13"/>
  <c r="D308" i="13"/>
  <c r="D287" i="13"/>
  <c r="D234" i="13"/>
  <c r="V51" i="9"/>
  <c r="M51" i="9" s="1"/>
  <c r="N51" i="9" s="1"/>
  <c r="D74" i="13"/>
  <c r="D246" i="13"/>
  <c r="V54" i="9"/>
  <c r="M54" i="9" s="1"/>
  <c r="N54" i="9" s="1"/>
  <c r="D372" i="13"/>
  <c r="F11" i="19"/>
  <c r="C124" i="13"/>
  <c r="D18" i="18"/>
  <c r="H18" i="18" s="1"/>
  <c r="P16" i="19"/>
  <c r="H161" i="13"/>
  <c r="R12" i="12" l="1"/>
  <c r="G80" i="13"/>
  <c r="G81" i="13" s="1"/>
  <c r="G96" i="13"/>
  <c r="G97" i="13" s="1"/>
  <c r="F32" i="13"/>
  <c r="F350" i="13"/>
  <c r="F351" i="13" s="1"/>
  <c r="G286" i="13"/>
  <c r="G287" i="13" s="1"/>
  <c r="R13" i="11"/>
  <c r="V13" i="11" s="1"/>
  <c r="Y13" i="11"/>
  <c r="AE10" i="23" s="1"/>
  <c r="F87" i="13"/>
  <c r="F88" i="13" s="1"/>
  <c r="M13" i="11"/>
  <c r="N13" i="11" s="1"/>
  <c r="L58" i="12"/>
  <c r="L49" i="12"/>
  <c r="L10" i="11"/>
  <c r="L44" i="12"/>
  <c r="L46" i="12"/>
  <c r="L55" i="12"/>
  <c r="L50" i="12"/>
  <c r="L48" i="11"/>
  <c r="L56" i="11"/>
  <c r="L54" i="12"/>
  <c r="L12" i="12"/>
  <c r="L9" i="11"/>
  <c r="L53" i="12"/>
  <c r="Y51" i="11"/>
  <c r="AE19" i="23" s="1"/>
  <c r="L51" i="11"/>
  <c r="Y14" i="12"/>
  <c r="AF11" i="23" s="1"/>
  <c r="AG11" i="23" s="1"/>
  <c r="L46" i="11"/>
  <c r="L57" i="12"/>
  <c r="L52" i="11"/>
  <c r="L47" i="12"/>
  <c r="L45" i="12"/>
  <c r="L11" i="12"/>
  <c r="V12" i="10"/>
  <c r="M12" i="10" s="1"/>
  <c r="N12" i="10" s="1"/>
  <c r="AG5" i="23"/>
  <c r="AG18" i="23"/>
  <c r="AG26" i="23"/>
  <c r="AG23" i="23"/>
  <c r="Y53" i="11"/>
  <c r="AE21" i="23" s="1"/>
  <c r="AG21" i="23" s="1"/>
  <c r="Y7" i="11"/>
  <c r="AE4" i="23" s="1"/>
  <c r="Y46" i="11"/>
  <c r="AE14" i="23" s="1"/>
  <c r="L8" i="12"/>
  <c r="Y49" i="12"/>
  <c r="AF17" i="23" s="1"/>
  <c r="AG17" i="23" s="1"/>
  <c r="Y46" i="12"/>
  <c r="AF14" i="23" s="1"/>
  <c r="L7" i="12"/>
  <c r="Y57" i="12"/>
  <c r="AF25" i="23" s="1"/>
  <c r="AG25" i="23" s="1"/>
  <c r="Y12" i="12"/>
  <c r="AF9" i="23" s="1"/>
  <c r="AG9" i="23" s="1"/>
  <c r="E230" i="13"/>
  <c r="V55" i="10"/>
  <c r="M55" i="10" s="1"/>
  <c r="N55" i="10" s="1"/>
  <c r="E242" i="13"/>
  <c r="E262" i="13"/>
  <c r="M50" i="10"/>
  <c r="N50" i="10" s="1"/>
  <c r="E7" i="13"/>
  <c r="G36" i="13"/>
  <c r="H36" i="13" s="1"/>
  <c r="F45" i="13"/>
  <c r="F46" i="13" s="1"/>
  <c r="G47" i="13"/>
  <c r="G48" i="13" s="1"/>
  <c r="Q7" i="12"/>
  <c r="U7" i="12" s="1"/>
  <c r="F8" i="13"/>
  <c r="G288" i="13"/>
  <c r="G289" i="13" s="1"/>
  <c r="F336" i="13"/>
  <c r="F337" i="13" s="1"/>
  <c r="T13" i="12"/>
  <c r="G33" i="13"/>
  <c r="H33" i="13" s="1"/>
  <c r="G89" i="13"/>
  <c r="Q13" i="12"/>
  <c r="Y13" i="12"/>
  <c r="AF10" i="23" s="1"/>
  <c r="G99" i="13"/>
  <c r="H98" i="13"/>
  <c r="G94" i="13"/>
  <c r="G95" i="13" s="1"/>
  <c r="G92" i="13"/>
  <c r="H91" i="13"/>
  <c r="T14" i="12"/>
  <c r="G37" i="13"/>
  <c r="H37" i="13" s="1"/>
  <c r="M53" i="10"/>
  <c r="N53" i="10" s="1"/>
  <c r="M58" i="10"/>
  <c r="N58" i="10" s="1"/>
  <c r="E12" i="13"/>
  <c r="E11" i="13"/>
  <c r="V8" i="10"/>
  <c r="M8" i="10" s="1"/>
  <c r="N8" i="10" s="1"/>
  <c r="N59" i="9"/>
  <c r="N15" i="9" s="1"/>
  <c r="N16" i="9" s="1"/>
  <c r="Q15" i="11"/>
  <c r="D117" i="13"/>
  <c r="V15" i="9"/>
  <c r="T59" i="11"/>
  <c r="H361" i="13"/>
  <c r="T15" i="11"/>
  <c r="H364" i="13"/>
  <c r="U59" i="10"/>
  <c r="E266" i="13"/>
  <c r="F267" i="13"/>
  <c r="F40" i="13" s="1"/>
  <c r="E6" i="24" s="1"/>
  <c r="U15" i="10"/>
  <c r="G35" i="13"/>
  <c r="V14" i="12"/>
  <c r="M14" i="12" s="1"/>
  <c r="N14" i="12" s="1"/>
  <c r="V59" i="9"/>
  <c r="H307" i="13"/>
  <c r="R59" i="10"/>
  <c r="F95" i="13"/>
  <c r="Q59" i="11"/>
  <c r="H54" i="13"/>
  <c r="V14" i="11"/>
  <c r="M14" i="11" s="1"/>
  <c r="N14" i="11" s="1"/>
  <c r="F35" i="13"/>
  <c r="R46" i="12"/>
  <c r="F23" i="13"/>
  <c r="V11" i="11"/>
  <c r="M11" i="11" s="1"/>
  <c r="N11" i="11" s="1"/>
  <c r="G247" i="13"/>
  <c r="H247" i="13" s="1"/>
  <c r="U54" i="12"/>
  <c r="U12" i="12"/>
  <c r="G28" i="13"/>
  <c r="H28" i="13" s="1"/>
  <c r="E234" i="13"/>
  <c r="V51" i="10"/>
  <c r="M51" i="10" s="1"/>
  <c r="N51" i="10" s="1"/>
  <c r="F16" i="13"/>
  <c r="U9" i="11"/>
  <c r="R45" i="12"/>
  <c r="G279" i="13"/>
  <c r="G280" i="13" s="1"/>
  <c r="R58" i="12"/>
  <c r="G371" i="13"/>
  <c r="G231" i="13"/>
  <c r="H231" i="13" s="1"/>
  <c r="U50" i="12"/>
  <c r="V58" i="11"/>
  <c r="M58" i="11" s="1"/>
  <c r="N58" i="11" s="1"/>
  <c r="F262" i="13"/>
  <c r="G64" i="13"/>
  <c r="H63" i="13"/>
  <c r="G76" i="13"/>
  <c r="H75" i="13"/>
  <c r="U10" i="11"/>
  <c r="F20" i="13"/>
  <c r="R55" i="12"/>
  <c r="G350" i="13"/>
  <c r="F218" i="13"/>
  <c r="V47" i="11"/>
  <c r="M47" i="11" s="1"/>
  <c r="N47" i="11" s="1"/>
  <c r="R47" i="12"/>
  <c r="G293" i="13"/>
  <c r="F242" i="13"/>
  <c r="V53" i="11"/>
  <c r="M53" i="11" s="1"/>
  <c r="N53" i="11" s="1"/>
  <c r="G243" i="13"/>
  <c r="H243" i="13" s="1"/>
  <c r="U53" i="12"/>
  <c r="F239" i="13"/>
  <c r="U52" i="11"/>
  <c r="R56" i="12"/>
  <c r="Q56" i="12"/>
  <c r="G359" i="13"/>
  <c r="G360" i="13" s="1"/>
  <c r="Y48" i="12"/>
  <c r="AF16" i="23" s="1"/>
  <c r="AG16" i="23" s="1"/>
  <c r="Q48" i="12"/>
  <c r="G302" i="13"/>
  <c r="G303" i="13" s="1"/>
  <c r="H333" i="13"/>
  <c r="F280" i="13"/>
  <c r="G215" i="13"/>
  <c r="U46" i="12"/>
  <c r="U48" i="11"/>
  <c r="F223" i="13"/>
  <c r="E330" i="13"/>
  <c r="R54" i="12"/>
  <c r="G343" i="13"/>
  <c r="F7" i="13"/>
  <c r="V7" i="11"/>
  <c r="M7" i="11" s="1"/>
  <c r="N7" i="11" s="1"/>
  <c r="V12" i="12"/>
  <c r="G27" i="13"/>
  <c r="F289" i="13"/>
  <c r="Y52" i="12"/>
  <c r="AF20" i="23" s="1"/>
  <c r="AG20" i="23" s="1"/>
  <c r="Q52" i="12"/>
  <c r="G331" i="13"/>
  <c r="R9" i="11"/>
  <c r="F59" i="13"/>
  <c r="F60" i="13" s="1"/>
  <c r="R50" i="12"/>
  <c r="G314" i="13"/>
  <c r="H281" i="13"/>
  <c r="Y9" i="12"/>
  <c r="AF6" i="23" s="1"/>
  <c r="AG6" i="23" s="1"/>
  <c r="Q9" i="12"/>
  <c r="G61" i="13"/>
  <c r="G62" i="13" s="1"/>
  <c r="R11" i="12"/>
  <c r="G73" i="13"/>
  <c r="H236" i="13"/>
  <c r="E358" i="13"/>
  <c r="F69" i="13"/>
  <c r="V54" i="11"/>
  <c r="M54" i="11" s="1"/>
  <c r="N54" i="11" s="1"/>
  <c r="F246" i="13"/>
  <c r="G367" i="13"/>
  <c r="H366" i="13"/>
  <c r="R53" i="12"/>
  <c r="G336" i="13"/>
  <c r="R52" i="11"/>
  <c r="F329" i="13"/>
  <c r="F330" i="13" s="1"/>
  <c r="G324" i="13"/>
  <c r="H323" i="13"/>
  <c r="E60" i="13"/>
  <c r="G256" i="13"/>
  <c r="H256" i="13" s="1"/>
  <c r="T56" i="12"/>
  <c r="G224" i="13"/>
  <c r="H224" i="13" s="1"/>
  <c r="T48" i="12"/>
  <c r="G6" i="8"/>
  <c r="F230" i="13"/>
  <c r="V50" i="11"/>
  <c r="M50" i="11" s="1"/>
  <c r="N50" i="11" s="1"/>
  <c r="U44" i="12"/>
  <c r="G207" i="13"/>
  <c r="H207" i="13" s="1"/>
  <c r="F210" i="13"/>
  <c r="V45" i="11"/>
  <c r="M45" i="11" s="1"/>
  <c r="N45" i="11" s="1"/>
  <c r="V44" i="11"/>
  <c r="M44" i="11" s="1"/>
  <c r="N44" i="11" s="1"/>
  <c r="F206" i="13"/>
  <c r="G310" i="13"/>
  <c r="H309" i="13"/>
  <c r="F27" i="13"/>
  <c r="V12" i="11"/>
  <c r="M12" i="11" s="1"/>
  <c r="N12" i="11" s="1"/>
  <c r="F53" i="13"/>
  <c r="R51" i="11"/>
  <c r="F321" i="13"/>
  <c r="E238" i="13"/>
  <c r="V52" i="10"/>
  <c r="M52" i="10" s="1"/>
  <c r="N52" i="10" s="1"/>
  <c r="T10" i="12"/>
  <c r="G21" i="13"/>
  <c r="H21" i="13" s="1"/>
  <c r="U46" i="11"/>
  <c r="F215" i="13"/>
  <c r="G240" i="13"/>
  <c r="H240" i="13" s="1"/>
  <c r="T52" i="12"/>
  <c r="F226" i="13"/>
  <c r="V49" i="11"/>
  <c r="M49" i="11" s="1"/>
  <c r="N49" i="11" s="1"/>
  <c r="G374" i="13"/>
  <c r="H373" i="13"/>
  <c r="T9" i="12"/>
  <c r="G17" i="13"/>
  <c r="H17" i="13" s="1"/>
  <c r="E254" i="13"/>
  <c r="V56" i="10"/>
  <c r="M56" i="10" s="1"/>
  <c r="N56" i="10" s="1"/>
  <c r="R10" i="11"/>
  <c r="F66" i="13"/>
  <c r="G353" i="13"/>
  <c r="H352" i="13"/>
  <c r="G296" i="13"/>
  <c r="H295" i="13"/>
  <c r="E301" i="13"/>
  <c r="U57" i="12"/>
  <c r="G259" i="13"/>
  <c r="U56" i="11"/>
  <c r="F255" i="13"/>
  <c r="P59" i="12"/>
  <c r="G235" i="13"/>
  <c r="H235" i="13" s="1"/>
  <c r="U51" i="12"/>
  <c r="E15" i="13"/>
  <c r="V9" i="10"/>
  <c r="M9" i="10" s="1"/>
  <c r="N9" i="10" s="1"/>
  <c r="P15" i="12"/>
  <c r="H70" i="13"/>
  <c r="H82" i="13"/>
  <c r="R44" i="12"/>
  <c r="G272" i="13"/>
  <c r="R8" i="12"/>
  <c r="G52" i="13"/>
  <c r="G53" i="13" s="1"/>
  <c r="G227" i="13"/>
  <c r="H227" i="13" s="1"/>
  <c r="U49" i="12"/>
  <c r="R15" i="10"/>
  <c r="V8" i="11"/>
  <c r="M8" i="11" s="1"/>
  <c r="N8" i="11" s="1"/>
  <c r="F11" i="13"/>
  <c r="F12" i="13"/>
  <c r="R48" i="11"/>
  <c r="F300" i="13"/>
  <c r="F301" i="13" s="1"/>
  <c r="G346" i="13"/>
  <c r="H345" i="13"/>
  <c r="Y10" i="12"/>
  <c r="AF7" i="23" s="1"/>
  <c r="AG7" i="23" s="1"/>
  <c r="Q10" i="12"/>
  <c r="G68" i="13"/>
  <c r="G69" i="13" s="1"/>
  <c r="R46" i="11"/>
  <c r="F286" i="13"/>
  <c r="G211" i="13"/>
  <c r="H211" i="13" s="1"/>
  <c r="U45" i="12"/>
  <c r="G263" i="13"/>
  <c r="H263" i="13" s="1"/>
  <c r="U58" i="12"/>
  <c r="G317" i="13"/>
  <c r="H316" i="13"/>
  <c r="E214" i="13"/>
  <c r="V46" i="10"/>
  <c r="M46" i="10" s="1"/>
  <c r="N46" i="10" s="1"/>
  <c r="G24" i="13"/>
  <c r="H24" i="13" s="1"/>
  <c r="U11" i="12"/>
  <c r="V55" i="11"/>
  <c r="M55" i="11" s="1"/>
  <c r="N55" i="11" s="1"/>
  <c r="F250" i="13"/>
  <c r="V57" i="11"/>
  <c r="M57" i="11" s="1"/>
  <c r="N57" i="11" s="1"/>
  <c r="F258" i="13"/>
  <c r="G251" i="13"/>
  <c r="H251" i="13" s="1"/>
  <c r="U55" i="12"/>
  <c r="G219" i="13"/>
  <c r="H219" i="13" s="1"/>
  <c r="U47" i="12"/>
  <c r="E222" i="13"/>
  <c r="V48" i="10"/>
  <c r="M48" i="10" s="1"/>
  <c r="N48" i="10" s="1"/>
  <c r="G258" i="13"/>
  <c r="V57" i="12"/>
  <c r="R56" i="11"/>
  <c r="G357" i="13"/>
  <c r="G358" i="13" s="1"/>
  <c r="F357" i="13"/>
  <c r="F358" i="13" s="1"/>
  <c r="G339" i="13"/>
  <c r="H338" i="13"/>
  <c r="G305" i="13"/>
  <c r="H304" i="13"/>
  <c r="V10" i="10"/>
  <c r="M10" i="10" s="1"/>
  <c r="N10" i="10" s="1"/>
  <c r="E19" i="13"/>
  <c r="H274" i="13"/>
  <c r="G226" i="13"/>
  <c r="V49" i="12"/>
  <c r="D265" i="13"/>
  <c r="D39" i="13"/>
  <c r="C5" i="24" s="1"/>
  <c r="H80" i="13" l="1"/>
  <c r="H96" i="13"/>
  <c r="F31" i="13"/>
  <c r="AG10" i="23"/>
  <c r="Y51" i="12"/>
  <c r="AF19" i="23" s="1"/>
  <c r="AG19" i="23" s="1"/>
  <c r="L51" i="12"/>
  <c r="L56" i="12"/>
  <c r="L9" i="12"/>
  <c r="L48" i="12"/>
  <c r="L10" i="12"/>
  <c r="L13" i="12"/>
  <c r="L52" i="12"/>
  <c r="AG14" i="23"/>
  <c r="G8" i="13"/>
  <c r="H8" i="13" s="1"/>
  <c r="G45" i="13"/>
  <c r="G46" i="13" s="1"/>
  <c r="R7" i="12"/>
  <c r="G7" i="13" s="1"/>
  <c r="H7" i="13" s="1"/>
  <c r="Y7" i="12"/>
  <c r="AF4" i="23" s="1"/>
  <c r="AG4" i="23" s="1"/>
  <c r="Y56" i="12"/>
  <c r="AF24" i="23" s="1"/>
  <c r="AG24" i="23" s="1"/>
  <c r="H288" i="13"/>
  <c r="H47" i="13"/>
  <c r="H94" i="13"/>
  <c r="R13" i="12"/>
  <c r="G87" i="13"/>
  <c r="E39" i="13"/>
  <c r="D5" i="24" s="1"/>
  <c r="U13" i="12"/>
  <c r="G32" i="13"/>
  <c r="H32" i="13" s="1"/>
  <c r="G90" i="13"/>
  <c r="H89" i="13"/>
  <c r="N59" i="10"/>
  <c r="N15" i="10" s="1"/>
  <c r="N16" i="10" s="1"/>
  <c r="M57" i="12"/>
  <c r="N57" i="12" s="1"/>
  <c r="M12" i="12"/>
  <c r="N12" i="12" s="1"/>
  <c r="M49" i="12"/>
  <c r="N49" i="12" s="1"/>
  <c r="I5" i="8"/>
  <c r="N30" i="9"/>
  <c r="J52" i="2" s="1"/>
  <c r="F58" i="2" s="1"/>
  <c r="D118" i="13"/>
  <c r="D122" i="13" s="1"/>
  <c r="H61" i="13"/>
  <c r="F266" i="13"/>
  <c r="F39" i="13" s="1"/>
  <c r="E5" i="24" s="1"/>
  <c r="E117" i="13"/>
  <c r="T15" i="12"/>
  <c r="H35" i="13"/>
  <c r="H359" i="13"/>
  <c r="U15" i="11"/>
  <c r="U59" i="11"/>
  <c r="Q59" i="12"/>
  <c r="V59" i="10"/>
  <c r="E265" i="13"/>
  <c r="E38" i="13" s="1"/>
  <c r="D4" i="24" s="1"/>
  <c r="H258" i="13"/>
  <c r="H302" i="13"/>
  <c r="V15" i="10"/>
  <c r="H215" i="13"/>
  <c r="T59" i="12"/>
  <c r="H226" i="13"/>
  <c r="H27" i="13"/>
  <c r="H357" i="13"/>
  <c r="U9" i="12"/>
  <c r="G16" i="13"/>
  <c r="H16" i="13" s="1"/>
  <c r="G332" i="13"/>
  <c r="H331" i="13"/>
  <c r="G294" i="13"/>
  <c r="H293" i="13"/>
  <c r="U10" i="12"/>
  <c r="G20" i="13"/>
  <c r="H20" i="13" s="1"/>
  <c r="F222" i="13"/>
  <c r="V48" i="11"/>
  <c r="M48" i="11" s="1"/>
  <c r="N48" i="11" s="1"/>
  <c r="H259" i="13"/>
  <c r="F322" i="13"/>
  <c r="H52" i="13"/>
  <c r="G337" i="13"/>
  <c r="H336" i="13"/>
  <c r="G23" i="13"/>
  <c r="H23" i="13" s="1"/>
  <c r="V11" i="12"/>
  <c r="M11" i="12" s="1"/>
  <c r="N11" i="12" s="1"/>
  <c r="R9" i="12"/>
  <c r="G59" i="13"/>
  <c r="G230" i="13"/>
  <c r="H230" i="13" s="1"/>
  <c r="V50" i="12"/>
  <c r="M50" i="12" s="1"/>
  <c r="N50" i="12" s="1"/>
  <c r="G239" i="13"/>
  <c r="H239" i="13" s="1"/>
  <c r="U52" i="12"/>
  <c r="G344" i="13"/>
  <c r="H343" i="13"/>
  <c r="G218" i="13"/>
  <c r="H218" i="13" s="1"/>
  <c r="V47" i="12"/>
  <c r="M47" i="12" s="1"/>
  <c r="N47" i="12" s="1"/>
  <c r="G351" i="13"/>
  <c r="H350" i="13"/>
  <c r="G372" i="13"/>
  <c r="H371" i="13"/>
  <c r="G210" i="13"/>
  <c r="H210" i="13" s="1"/>
  <c r="V45" i="12"/>
  <c r="M45" i="12" s="1"/>
  <c r="N45" i="12" s="1"/>
  <c r="R51" i="12"/>
  <c r="G321" i="13"/>
  <c r="G322" i="13" s="1"/>
  <c r="V10" i="11"/>
  <c r="M10" i="11" s="1"/>
  <c r="N10" i="11" s="1"/>
  <c r="F19" i="13"/>
  <c r="G74" i="13"/>
  <c r="H73" i="13"/>
  <c r="F234" i="13"/>
  <c r="V51" i="11"/>
  <c r="M51" i="11" s="1"/>
  <c r="N51" i="11" s="1"/>
  <c r="G242" i="13"/>
  <c r="H242" i="13" s="1"/>
  <c r="V53" i="12"/>
  <c r="M53" i="12" s="1"/>
  <c r="N53" i="12" s="1"/>
  <c r="H68" i="13"/>
  <c r="R52" i="12"/>
  <c r="G329" i="13"/>
  <c r="R15" i="11"/>
  <c r="G246" i="13"/>
  <c r="H246" i="13" s="1"/>
  <c r="V54" i="12"/>
  <c r="M54" i="12" s="1"/>
  <c r="N54" i="12" s="1"/>
  <c r="H279" i="13"/>
  <c r="G223" i="13"/>
  <c r="H223" i="13" s="1"/>
  <c r="U48" i="12"/>
  <c r="G255" i="13"/>
  <c r="H255" i="13" s="1"/>
  <c r="U56" i="12"/>
  <c r="G250" i="13"/>
  <c r="H250" i="13" s="1"/>
  <c r="V55" i="12"/>
  <c r="M55" i="12" s="1"/>
  <c r="N55" i="12" s="1"/>
  <c r="G262" i="13"/>
  <c r="V58" i="12"/>
  <c r="M58" i="12" s="1"/>
  <c r="N58" i="12" s="1"/>
  <c r="G214" i="13"/>
  <c r="V46" i="12"/>
  <c r="M46" i="12" s="1"/>
  <c r="N46" i="12" s="1"/>
  <c r="V56" i="11"/>
  <c r="M56" i="11" s="1"/>
  <c r="N56" i="11" s="1"/>
  <c r="F254" i="13"/>
  <c r="F214" i="13"/>
  <c r="V46" i="11"/>
  <c r="M46" i="11" s="1"/>
  <c r="N46" i="11" s="1"/>
  <c r="G315" i="13"/>
  <c r="H314" i="13"/>
  <c r="R10" i="12"/>
  <c r="G66" i="13"/>
  <c r="G67" i="13" s="1"/>
  <c r="G273" i="13"/>
  <c r="H272" i="13"/>
  <c r="Q15" i="12"/>
  <c r="F287" i="13"/>
  <c r="H286" i="13"/>
  <c r="G11" i="13"/>
  <c r="H11" i="13" s="1"/>
  <c r="V8" i="12"/>
  <c r="M8" i="12" s="1"/>
  <c r="N8" i="12" s="1"/>
  <c r="G12" i="13"/>
  <c r="H12" i="13" s="1"/>
  <c r="V44" i="12"/>
  <c r="M44" i="12" s="1"/>
  <c r="N44" i="12" s="1"/>
  <c r="G206" i="13"/>
  <c r="H206" i="13" s="1"/>
  <c r="F67" i="13"/>
  <c r="R59" i="11"/>
  <c r="F238" i="13"/>
  <c r="V52" i="11"/>
  <c r="M52" i="11" s="1"/>
  <c r="N52" i="11" s="1"/>
  <c r="G267" i="13"/>
  <c r="V9" i="11"/>
  <c r="M9" i="11" s="1"/>
  <c r="N9" i="11" s="1"/>
  <c r="F15" i="13"/>
  <c r="R48" i="12"/>
  <c r="G300" i="13"/>
  <c r="G301" i="13" s="1"/>
  <c r="G254" i="13"/>
  <c r="V56" i="12"/>
  <c r="D268" i="13"/>
  <c r="D38" i="13"/>
  <c r="C4" i="24" s="1"/>
  <c r="H214" i="13" l="1"/>
  <c r="K4" i="23"/>
  <c r="AH4" i="23"/>
  <c r="H254" i="13"/>
  <c r="H66" i="13"/>
  <c r="H12" i="19"/>
  <c r="C15" i="24"/>
  <c r="V7" i="12"/>
  <c r="M7" i="12" s="1"/>
  <c r="N7" i="12" s="1"/>
  <c r="H45" i="13"/>
  <c r="E41" i="13"/>
  <c r="E114" i="13" s="1"/>
  <c r="J11" i="19" s="1"/>
  <c r="G88" i="13"/>
  <c r="H87" i="13"/>
  <c r="G31" i="13"/>
  <c r="H31" i="13" s="1"/>
  <c r="V13" i="12"/>
  <c r="M13" i="12" s="1"/>
  <c r="N13" i="12" s="1"/>
  <c r="N59" i="11"/>
  <c r="N15" i="11" s="1"/>
  <c r="N16" i="11" s="1"/>
  <c r="M56" i="12"/>
  <c r="N56" i="12" s="1"/>
  <c r="N30" i="10"/>
  <c r="L52" i="2" s="1"/>
  <c r="F59" i="2" s="1"/>
  <c r="J5" i="8"/>
  <c r="E4" i="22"/>
  <c r="D171" i="13"/>
  <c r="H19" i="19" s="1"/>
  <c r="V15" i="11"/>
  <c r="U15" i="12"/>
  <c r="E118" i="13"/>
  <c r="E122" i="13" s="1"/>
  <c r="F117" i="13"/>
  <c r="F265" i="13"/>
  <c r="F38" i="13" s="1"/>
  <c r="V59" i="11"/>
  <c r="R59" i="12"/>
  <c r="U59" i="12"/>
  <c r="E268" i="13"/>
  <c r="G15" i="13"/>
  <c r="V9" i="12"/>
  <c r="M9" i="12" s="1"/>
  <c r="N9" i="12" s="1"/>
  <c r="V10" i="12"/>
  <c r="M10" i="12" s="1"/>
  <c r="N10" i="12" s="1"/>
  <c r="G19" i="13"/>
  <c r="H19" i="13" s="1"/>
  <c r="G330" i="13"/>
  <c r="H329" i="13"/>
  <c r="G40" i="13"/>
  <c r="H267" i="13"/>
  <c r="H262" i="13"/>
  <c r="G238" i="13"/>
  <c r="V52" i="12"/>
  <c r="M52" i="12" s="1"/>
  <c r="N52" i="12" s="1"/>
  <c r="G234" i="13"/>
  <c r="H234" i="13" s="1"/>
  <c r="V51" i="12"/>
  <c r="M51" i="12" s="1"/>
  <c r="N51" i="12" s="1"/>
  <c r="G60" i="13"/>
  <c r="H59" i="13"/>
  <c r="H300" i="13"/>
  <c r="H321" i="13"/>
  <c r="G266" i="13"/>
  <c r="G222" i="13"/>
  <c r="H222" i="13" s="1"/>
  <c r="V48" i="12"/>
  <c r="M48" i="12" s="1"/>
  <c r="N48" i="12" s="1"/>
  <c r="R15" i="12"/>
  <c r="D41" i="13"/>
  <c r="H40" i="13" l="1"/>
  <c r="G6" i="24" s="1"/>
  <c r="F6" i="24"/>
  <c r="F41" i="13"/>
  <c r="F114" i="13" s="1"/>
  <c r="L11" i="19" s="1"/>
  <c r="E4" i="24"/>
  <c r="J12" i="19"/>
  <c r="D15" i="24"/>
  <c r="E7" i="22"/>
  <c r="E9" i="22" s="1"/>
  <c r="E13" i="22" s="1"/>
  <c r="E15" i="22" s="1"/>
  <c r="N59" i="12"/>
  <c r="N15" i="12" s="1"/>
  <c r="N16" i="12" s="1"/>
  <c r="K5" i="8"/>
  <c r="N30" i="11"/>
  <c r="N52" i="2" s="1"/>
  <c r="F60" i="2" s="1"/>
  <c r="F4" i="22"/>
  <c r="F7" i="22" s="1"/>
  <c r="F9" i="22" s="1"/>
  <c r="E171" i="13"/>
  <c r="J19" i="19" s="1"/>
  <c r="F268" i="13"/>
  <c r="D168" i="13"/>
  <c r="D169" i="13" s="1"/>
  <c r="D167" i="13"/>
  <c r="J58" i="2"/>
  <c r="J62" i="2" s="1"/>
  <c r="E124" i="13"/>
  <c r="V59" i="12"/>
  <c r="G265" i="13"/>
  <c r="G268" i="13" s="1"/>
  <c r="V15" i="12"/>
  <c r="G117" i="13"/>
  <c r="F118" i="13"/>
  <c r="F122" i="13" s="1"/>
  <c r="H238" i="13"/>
  <c r="H266" i="13"/>
  <c r="G39" i="13"/>
  <c r="H15" i="13"/>
  <c r="D114" i="13"/>
  <c r="J18" i="19" l="1"/>
  <c r="H39" i="13"/>
  <c r="G5" i="24" s="1"/>
  <c r="F5" i="24"/>
  <c r="L12" i="19"/>
  <c r="E15" i="24"/>
  <c r="G4" i="22"/>
  <c r="G7" i="22" s="1"/>
  <c r="G9" i="22" s="1"/>
  <c r="F171" i="13"/>
  <c r="L19" i="19" s="1"/>
  <c r="G5" i="8"/>
  <c r="N30" i="12"/>
  <c r="L5" i="8"/>
  <c r="F13" i="22"/>
  <c r="F15" i="22" s="1"/>
  <c r="F17" i="22" s="1"/>
  <c r="E167" i="13"/>
  <c r="E168" i="13"/>
  <c r="E169" i="13" s="1"/>
  <c r="L59" i="2"/>
  <c r="L62" i="2" s="1"/>
  <c r="H268" i="13"/>
  <c r="G118" i="13"/>
  <c r="H118" i="13" s="1"/>
  <c r="D173" i="13"/>
  <c r="J66" i="2"/>
  <c r="E17" i="22"/>
  <c r="G38" i="13"/>
  <c r="H265" i="13"/>
  <c r="F124" i="13"/>
  <c r="H117" i="13"/>
  <c r="H11" i="19"/>
  <c r="D124" i="13"/>
  <c r="H38" i="13" l="1"/>
  <c r="G4" i="24" s="1"/>
  <c r="F4" i="24"/>
  <c r="H20" i="19"/>
  <c r="H22" i="19" s="1"/>
  <c r="C40" i="24"/>
  <c r="C41" i="24" s="1"/>
  <c r="F167" i="13"/>
  <c r="G13" i="22"/>
  <c r="G15" i="22" s="1"/>
  <c r="F168" i="13"/>
  <c r="F169" i="13" s="1"/>
  <c r="N60" i="2"/>
  <c r="N62" i="2" s="1"/>
  <c r="N66" i="2" s="1"/>
  <c r="P52" i="2"/>
  <c r="F61" i="2" s="1"/>
  <c r="G8" i="8"/>
  <c r="E173" i="13"/>
  <c r="L66" i="2"/>
  <c r="G122" i="13"/>
  <c r="D175" i="13"/>
  <c r="D178" i="13" s="1"/>
  <c r="G41" i="13"/>
  <c r="G114" i="13" s="1"/>
  <c r="L18" i="19"/>
  <c r="H18" i="19"/>
  <c r="H122" i="13" l="1"/>
  <c r="F15" i="24"/>
  <c r="J20" i="19"/>
  <c r="J22" i="19" s="1"/>
  <c r="D40" i="24"/>
  <c r="D41" i="24" s="1"/>
  <c r="F173" i="13"/>
  <c r="N12" i="19"/>
  <c r="P12" i="19" s="1"/>
  <c r="E175" i="13"/>
  <c r="E178" i="13" s="1"/>
  <c r="H4" i="22"/>
  <c r="G171" i="13"/>
  <c r="H41" i="13"/>
  <c r="G17" i="22"/>
  <c r="F175" i="13"/>
  <c r="N11" i="19"/>
  <c r="G124" i="13"/>
  <c r="H124" i="13" s="1"/>
  <c r="H114" i="13"/>
  <c r="D13" i="18" s="1"/>
  <c r="D14" i="18" l="1"/>
  <c r="H14" i="18" s="1"/>
  <c r="G15" i="24"/>
  <c r="L20" i="19"/>
  <c r="L22" i="19" s="1"/>
  <c r="E40" i="24"/>
  <c r="E41" i="24" s="1"/>
  <c r="H7" i="22"/>
  <c r="G168" i="13"/>
  <c r="G167" i="13"/>
  <c r="P61" i="2"/>
  <c r="P62" i="2" s="1"/>
  <c r="N19" i="19"/>
  <c r="F178" i="13"/>
  <c r="H13" i="18"/>
  <c r="P11" i="19"/>
  <c r="N18" i="19" l="1"/>
  <c r="G169" i="13"/>
  <c r="P66" i="2"/>
  <c r="G173" i="13"/>
  <c r="F40" i="24" s="1"/>
  <c r="F41" i="24" s="1"/>
  <c r="H9" i="22"/>
  <c r="N20" i="19" l="1"/>
  <c r="H13" i="22"/>
  <c r="G175" i="13"/>
  <c r="H15" i="22" l="1"/>
  <c r="G178" i="13"/>
  <c r="N22" i="19"/>
  <c r="D35" i="18"/>
  <c r="H17" i="22" l="1"/>
  <c r="E35" i="18"/>
  <c r="H35" i="18"/>
  <c r="G35" i="18"/>
  <c r="F35" i="18"/>
  <c r="V4" i="23" l="1"/>
  <c r="U4" i="23"/>
  <c r="C153" i="13"/>
  <c r="B32" i="24" s="1"/>
  <c r="R41" i="2"/>
  <c r="F27" i="8" s="1"/>
  <c r="H48" i="2"/>
  <c r="H52" i="2" s="1"/>
  <c r="F57" i="2" s="1"/>
  <c r="C167" i="13" s="1"/>
  <c r="Z4" i="23" l="1"/>
  <c r="H153" i="13"/>
  <c r="G32" i="24" s="1"/>
  <c r="C162" i="13"/>
  <c r="H162" i="13" s="1"/>
  <c r="R52" i="2"/>
  <c r="K6" i="23"/>
  <c r="D4" i="22"/>
  <c r="C171" i="13"/>
  <c r="R48" i="2"/>
  <c r="G19" i="8" s="1"/>
  <c r="H7" i="23" l="1"/>
  <c r="G7" i="23"/>
  <c r="F7" i="23"/>
  <c r="C163" i="13"/>
  <c r="H163" i="13" s="1"/>
  <c r="D7" i="22"/>
  <c r="I4" i="22"/>
  <c r="E7" i="23"/>
  <c r="D7" i="23"/>
  <c r="G30" i="8"/>
  <c r="H171" i="13"/>
  <c r="D20" i="18" s="1"/>
  <c r="F19" i="19"/>
  <c r="C168" i="13"/>
  <c r="H168" i="13" s="1"/>
  <c r="H57" i="2"/>
  <c r="H62" i="2" s="1"/>
  <c r="H4" i="23" l="1"/>
  <c r="H9" i="23"/>
  <c r="F4" i="23"/>
  <c r="F9" i="23"/>
  <c r="G4" i="23"/>
  <c r="G9" i="23"/>
  <c r="F18" i="19"/>
  <c r="P18" i="19" s="1"/>
  <c r="P19" i="19"/>
  <c r="K3" i="23"/>
  <c r="D4" i="23"/>
  <c r="I7" i="23"/>
  <c r="D9" i="23"/>
  <c r="C169" i="13"/>
  <c r="H169" i="13" s="1"/>
  <c r="E4" i="23"/>
  <c r="E9" i="23"/>
  <c r="R62" i="2"/>
  <c r="G31" i="8" s="1"/>
  <c r="C173" i="13"/>
  <c r="H66" i="2"/>
  <c r="D21" i="18"/>
  <c r="H20" i="18"/>
  <c r="I7" i="22"/>
  <c r="D9" i="22"/>
  <c r="H21" i="18" l="1"/>
  <c r="B48" i="18"/>
  <c r="I9" i="23"/>
  <c r="H13" i="23" s="1"/>
  <c r="H15" i="23" s="1"/>
  <c r="H17" i="23" s="1"/>
  <c r="I9" i="22"/>
  <c r="D13" i="22"/>
  <c r="R66" i="2"/>
  <c r="G32" i="8" s="1"/>
  <c r="C175" i="13"/>
  <c r="B40" i="24"/>
  <c r="B41" i="24" s="1"/>
  <c r="F20" i="19"/>
  <c r="H173" i="13"/>
  <c r="I4" i="23"/>
  <c r="F13" i="23" l="1"/>
  <c r="F15" i="23" s="1"/>
  <c r="F17" i="23" s="1"/>
  <c r="G13" i="23"/>
  <c r="G15" i="23" s="1"/>
  <c r="G17" i="23" s="1"/>
  <c r="D13" i="23"/>
  <c r="E13" i="23"/>
  <c r="E15" i="23" s="1"/>
  <c r="E17" i="23" s="1"/>
  <c r="G40" i="24"/>
  <c r="G41" i="24" s="1"/>
  <c r="D22" i="18"/>
  <c r="C178" i="13"/>
  <c r="H178" i="13" s="1"/>
  <c r="H175" i="13"/>
  <c r="P20" i="19"/>
  <c r="F22" i="19"/>
  <c r="P22" i="19" s="1"/>
  <c r="D15" i="22"/>
  <c r="I13" i="22"/>
  <c r="F48" i="18" l="1"/>
  <c r="H22" i="18"/>
  <c r="D23" i="18"/>
  <c r="G5" i="18" s="1"/>
  <c r="G9" i="18" s="1"/>
  <c r="I15" i="22"/>
  <c r="D17" i="22"/>
  <c r="I17" i="22" s="1"/>
  <c r="D15" i="23"/>
  <c r="I13" i="23"/>
  <c r="H23" i="18" l="1"/>
  <c r="F5" i="18"/>
  <c r="D36" i="18"/>
  <c r="I15" i="23"/>
  <c r="D17" i="23"/>
  <c r="I17" i="23" s="1"/>
  <c r="E36" i="18" l="1"/>
  <c r="E37" i="18" s="1"/>
  <c r="H36" i="18"/>
  <c r="H37" i="18" s="1"/>
  <c r="G36" i="18"/>
  <c r="G37" i="18" s="1"/>
  <c r="F36" i="18"/>
  <c r="F37" i="18" s="1"/>
  <c r="D37" i="18"/>
  <c r="F9" i="18"/>
  <c r="H9" i="18" s="1"/>
  <c r="H5" i="18"/>
</calcChain>
</file>

<file path=xl/sharedStrings.xml><?xml version="1.0" encoding="utf-8"?>
<sst xmlns="http://schemas.openxmlformats.org/spreadsheetml/2006/main" count="1397" uniqueCount="530">
  <si>
    <t>Prefix</t>
  </si>
  <si>
    <t>First</t>
  </si>
  <si>
    <t>Middle</t>
  </si>
  <si>
    <t>Last</t>
  </si>
  <si>
    <t>Suffix</t>
  </si>
  <si>
    <t>A. Senior/Key Person</t>
  </si>
  <si>
    <t>B. Other Personnel</t>
  </si>
  <si>
    <t xml:space="preserve"># </t>
  </si>
  <si>
    <t>Post Doctoral Associates</t>
  </si>
  <si>
    <t>Graduate Students</t>
  </si>
  <si>
    <t>Undergraduate Students</t>
  </si>
  <si>
    <t>Total Number Other Personnel</t>
  </si>
  <si>
    <t>Total Other Personnel</t>
  </si>
  <si>
    <t>Total Salary, Wages and Fringe Benefits (A+B)</t>
  </si>
  <si>
    <t>C. Equipment Description</t>
  </si>
  <si>
    <t>List items and dollar amount for each item exceeding $5000</t>
  </si>
  <si>
    <t>D. Travel</t>
  </si>
  <si>
    <t>Foreign Travel Costs</t>
  </si>
  <si>
    <t>Total Equipment</t>
  </si>
  <si>
    <t>Total Travel Cost</t>
  </si>
  <si>
    <t>E. Participant/Trainee Support Costs</t>
  </si>
  <si>
    <t>Number of Participants/Trainees</t>
  </si>
  <si>
    <t>F. Other Direct Costs</t>
  </si>
  <si>
    <t>Materials and Supplies</t>
  </si>
  <si>
    <t>Publication Costs</t>
  </si>
  <si>
    <t>Consultant Services</t>
  </si>
  <si>
    <t>Subawards/Consortium/Contractual Costs</t>
  </si>
  <si>
    <t>Stipends</t>
  </si>
  <si>
    <t>Travel</t>
  </si>
  <si>
    <t>Subsistence</t>
  </si>
  <si>
    <t>Other</t>
  </si>
  <si>
    <t>Total Other Direct Costs</t>
  </si>
  <si>
    <t>G. Direct Costs</t>
  </si>
  <si>
    <t>Total Indirect Costs</t>
  </si>
  <si>
    <t>Total Senior/Key Personnel</t>
  </si>
  <si>
    <t>Year 1</t>
  </si>
  <si>
    <t>Year 2</t>
  </si>
  <si>
    <t>Year 3</t>
  </si>
  <si>
    <t>Year 4</t>
  </si>
  <si>
    <t>Year 5</t>
  </si>
  <si>
    <t>Total</t>
  </si>
  <si>
    <t>Funds Requested</t>
  </si>
  <si>
    <t>Project Role</t>
  </si>
  <si>
    <t>Base Salary</t>
  </si>
  <si>
    <t>Requested Salary</t>
  </si>
  <si>
    <t>Fringe Benefits</t>
  </si>
  <si>
    <t>TDC</t>
  </si>
  <si>
    <t>SWFB</t>
  </si>
  <si>
    <t>Total Direct Costs (A thru F)</t>
  </si>
  <si>
    <t>Tuition</t>
  </si>
  <si>
    <t>Yr</t>
  </si>
  <si>
    <t>Total Number Senior Key Personnel</t>
  </si>
  <si>
    <t>Total Number for all additional Senior Key Personnel</t>
  </si>
  <si>
    <t>Dr</t>
  </si>
  <si>
    <t>Mr</t>
  </si>
  <si>
    <t>Mrs</t>
  </si>
  <si>
    <t>Ms</t>
  </si>
  <si>
    <t>Prof</t>
  </si>
  <si>
    <t>Rev</t>
  </si>
  <si>
    <t>Total Support Costs</t>
  </si>
  <si>
    <t>Cal Months</t>
  </si>
  <si>
    <t>Acad Months</t>
  </si>
  <si>
    <t>Sum Months</t>
  </si>
  <si>
    <t>Total Funds requested for all additional Senior/Key Personnel</t>
  </si>
  <si>
    <t>Federal</t>
  </si>
  <si>
    <t>Grad Fringe</t>
  </si>
  <si>
    <t>cal</t>
  </si>
  <si>
    <t>acad</t>
  </si>
  <si>
    <t>sum</t>
  </si>
  <si>
    <t>Summer</t>
  </si>
  <si>
    <t>Full</t>
  </si>
  <si>
    <t>Temp</t>
  </si>
  <si>
    <t>Other(Temp, wages)</t>
  </si>
  <si>
    <t>Other Professional</t>
  </si>
  <si>
    <t>Yes</t>
  </si>
  <si>
    <t>Equipment Item</t>
  </si>
  <si>
    <t>Personnel Year 1</t>
  </si>
  <si>
    <t>Syracuse University Sponsored Programs Budget Template</t>
  </si>
  <si>
    <t>Personnel Year 2</t>
  </si>
  <si>
    <t>Personnel Year 3</t>
  </si>
  <si>
    <t>Personnel Year 4</t>
  </si>
  <si>
    <t>Personnel Year 5</t>
  </si>
  <si>
    <t>Non-personnel</t>
  </si>
  <si>
    <t>Budget Summary</t>
  </si>
  <si>
    <t>Total ($)</t>
  </si>
  <si>
    <t>Section A, Senior/Key Person</t>
  </si>
  <si>
    <t>Section B, Other Personnel</t>
  </si>
  <si>
    <t>Section C, Equipment</t>
  </si>
  <si>
    <t>Section D, Travel</t>
  </si>
  <si>
    <t>Domestic</t>
  </si>
  <si>
    <t>Foreign</t>
  </si>
  <si>
    <t>Section E, Participant/Trainee Support Calls</t>
  </si>
  <si>
    <t>Section F, Other Direct Costs</t>
  </si>
  <si>
    <t>Section G, Direct Costs (A thru F)</t>
  </si>
  <si>
    <t>Section H, Indirect Costs</t>
  </si>
  <si>
    <t>Section I, Total Direct and Indirect Costs (G + H)</t>
  </si>
  <si>
    <t>Enter total salary requested for employee category.  Effort months for informational purposes only.</t>
  </si>
  <si>
    <t>PI</t>
  </si>
  <si>
    <t>Co-PI</t>
  </si>
  <si>
    <t>Co-Investigator</t>
  </si>
  <si>
    <t>Fellow</t>
  </si>
  <si>
    <t>Project Director</t>
  </si>
  <si>
    <t>Statistician</t>
  </si>
  <si>
    <t>Escalation Rate</t>
  </si>
  <si>
    <t>Start Date:</t>
  </si>
  <si>
    <t>Roles</t>
  </si>
  <si>
    <t>F&amp;A Rate</t>
  </si>
  <si>
    <t>Base</t>
  </si>
  <si>
    <t>Sal</t>
  </si>
  <si>
    <t>Sponsor Type</t>
  </si>
  <si>
    <t>Duration</t>
  </si>
  <si>
    <t>First Year Rate</t>
  </si>
  <si>
    <t>Tuition Rate</t>
  </si>
  <si>
    <t>Enter Other Rate if applicable</t>
  </si>
  <si>
    <t>F&amp;A Rate (%)</t>
  </si>
  <si>
    <t>F&amp;A Base ($)</t>
  </si>
  <si>
    <t>F&amp;A Type</t>
  </si>
  <si>
    <t>H. Facilities and Administration Costs (i.e. Indirect Costs)</t>
  </si>
  <si>
    <t>I. Total Direct and F&amp;A Costs</t>
  </si>
  <si>
    <t>Total Direct and F&amp;A Costs (G+H)</t>
  </si>
  <si>
    <t>year 1</t>
  </si>
  <si>
    <t>year 2</t>
  </si>
  <si>
    <t>year 3</t>
  </si>
  <si>
    <t>Project Duration</t>
  </si>
  <si>
    <t>Year(s)</t>
  </si>
  <si>
    <t>Domestic Travel Costs(Incl. Canada, Mexico and U.S. Possessions)</t>
  </si>
  <si>
    <t>Principal Investigator:</t>
  </si>
  <si>
    <t>BUDGET CATEGORY</t>
  </si>
  <si>
    <t>A.  SENIOR PERSONNEL</t>
  </si>
  <si>
    <t>OSA Code</t>
  </si>
  <si>
    <t>Academic</t>
  </si>
  <si>
    <t>Calendar</t>
  </si>
  <si>
    <t>TOTAL SENIOR SUMMER</t>
  </si>
  <si>
    <t>PROFSM</t>
  </si>
  <si>
    <t>TOTAL SENIOR ACADEMIC</t>
  </si>
  <si>
    <t>PROFAY</t>
  </si>
  <si>
    <t>TOTAL SENIOR CALENDAR</t>
  </si>
  <si>
    <t>TOTAL SENIOR PERSONNEL</t>
  </si>
  <si>
    <t>Investigator Pending Effort</t>
  </si>
  <si>
    <t>Summer Mos.</t>
  </si>
  <si>
    <t>Summ % Effort</t>
  </si>
  <si>
    <t>Academic Mos.</t>
  </si>
  <si>
    <t>Acad % Effort</t>
  </si>
  <si>
    <t>Calendar Mos.</t>
  </si>
  <si>
    <t>Cal % Effort</t>
  </si>
  <si>
    <t>B.  OTHER PERSONNEL</t>
  </si>
  <si>
    <t xml:space="preserve">   1)  Graduate Student(s) </t>
  </si>
  <si>
    <t>GRADST</t>
  </si>
  <si>
    <t>CLERK</t>
  </si>
  <si>
    <t>3)  Other</t>
  </si>
  <si>
    <t>a)  Postdoctorate</t>
  </si>
  <si>
    <t>b)  Undergraduate Student(s)</t>
  </si>
  <si>
    <t>c)  Other Professionals (Tech.)</t>
  </si>
  <si>
    <t>d)  Other (hourly)</t>
  </si>
  <si>
    <t>OTHER PERSONNEL (B-3)</t>
  </si>
  <si>
    <t>TOTAL OTHER PERSONNEL</t>
  </si>
  <si>
    <t>TOTAL SALARIES &amp; WAGES</t>
  </si>
  <si>
    <t>C.  FRINGE BENEFITS</t>
  </si>
  <si>
    <t>TOTAL FRINGE BENEFITS</t>
  </si>
  <si>
    <t>FRINGE</t>
  </si>
  <si>
    <t>TOTAL SALARIES, WAGES &amp; FB</t>
  </si>
  <si>
    <t>D.  EQUIPMENT</t>
  </si>
  <si>
    <t>EQUIP</t>
  </si>
  <si>
    <t>TOTAL EQUIPMENT</t>
  </si>
  <si>
    <t>E.  TRAVEL</t>
  </si>
  <si>
    <t>DOTRAV</t>
  </si>
  <si>
    <t>FOTRAV</t>
  </si>
  <si>
    <t>TOTAL TRAVEL</t>
  </si>
  <si>
    <t>TRAVEL</t>
  </si>
  <si>
    <t>F.  PARTICIPANT COSTS/STIPENDS</t>
  </si>
  <si>
    <t>PTSTIP</t>
  </si>
  <si>
    <t>PTSUBS</t>
  </si>
  <si>
    <t>PTOTHR</t>
  </si>
  <si>
    <t>TOTAL PARTICIPANT COSTS</t>
  </si>
  <si>
    <t>G.  OTHER DIRECT COSTS</t>
  </si>
  <si>
    <t>SUPL</t>
  </si>
  <si>
    <t>CONSLT</t>
  </si>
  <si>
    <t>SUB&lt;25</t>
  </si>
  <si>
    <t>SUB&gt;25</t>
  </si>
  <si>
    <t>RENO</t>
  </si>
  <si>
    <t>OTHER (1)</t>
  </si>
  <si>
    <t>OTHER (2)</t>
  </si>
  <si>
    <t>OTHER (3)</t>
  </si>
  <si>
    <t>OTHRNO</t>
  </si>
  <si>
    <t>OTHER (4)</t>
  </si>
  <si>
    <t>OTHER</t>
  </si>
  <si>
    <t>Total Other Direct Costs Subject</t>
  </si>
  <si>
    <t>Total Other Direct Costs Not Subject</t>
  </si>
  <si>
    <t>TOTAL OTHER DIRECT COSTS</t>
  </si>
  <si>
    <t>Indirect Cost Calculations</t>
  </si>
  <si>
    <t>F&amp;A Rate Applied:</t>
  </si>
  <si>
    <t>DC SUBJECT TO F&amp;A (F&amp;A BASE):</t>
  </si>
  <si>
    <t>DC NOT SUBJECT TO F&amp;A:</t>
  </si>
  <si>
    <t>H. TOTAL DIRECT COSTS</t>
  </si>
  <si>
    <t>I.   INDIRECT COSTS</t>
  </si>
  <si>
    <t>FACADM</t>
  </si>
  <si>
    <t>J.  TOTAL PROJECT COSTS</t>
  </si>
  <si>
    <t>Less Cost Sharing</t>
  </si>
  <si>
    <t>Subcontractor Listing</t>
  </si>
  <si>
    <t>With Overhead</t>
  </si>
  <si>
    <t>Total MTDC</t>
  </si>
  <si>
    <t>1)  Domestic</t>
  </si>
  <si>
    <t>2)  Foreign</t>
  </si>
  <si>
    <t>1)  Stipend</t>
  </si>
  <si>
    <t>2)  Travel</t>
  </si>
  <si>
    <t>3)  Subsistence</t>
  </si>
  <si>
    <t>4)  Other/Training Related Expenses</t>
  </si>
  <si>
    <t>1)  Materials and Supplies</t>
  </si>
  <si>
    <t>2)  Consultant Services</t>
  </si>
  <si>
    <t>3)  Subcontracts</t>
  </si>
  <si>
    <t>a)  w/overhead (1st $25K each sub)</t>
  </si>
  <si>
    <t>b)  Without overhead</t>
  </si>
  <si>
    <t>a)  Publication Costs</t>
  </si>
  <si>
    <t>b)  Purchased Services</t>
  </si>
  <si>
    <t>Purchased Services</t>
  </si>
  <si>
    <t>Rental/User Fees</t>
  </si>
  <si>
    <t>Alterations</t>
  </si>
  <si>
    <t>Other - Describe</t>
  </si>
  <si>
    <t>Inst #:</t>
  </si>
  <si>
    <t>Subawards/Consortium/Contractual Costs (Fill in Below)</t>
  </si>
  <si>
    <t>Budget entry must begin on “Personnel Yr 1” tab and proceed accordingly.</t>
  </si>
  <si>
    <t>Color key:</t>
  </si>
  <si>
    <t>Personnel Year 1:</t>
  </si>
  <si>
    <t>Non-personnel:</t>
  </si>
  <si>
    <t>indicate required cells for data entry</t>
  </si>
  <si>
    <t>indicate locked cells that are non-editable.</t>
  </si>
  <si>
    <t>indicate cells that should be filled in for each participating personnel</t>
  </si>
  <si>
    <t>Red shaded fields:</t>
  </si>
  <si>
    <t>Gray shaded fields:</t>
  </si>
  <si>
    <t>Blue shaded fields:</t>
  </si>
  <si>
    <t>Complete the other project costs as needed.</t>
  </si>
  <si>
    <r>
      <t>1.</t>
    </r>
    <r>
      <rPr>
        <sz val="7"/>
        <rFont val="Times New Roman"/>
        <family val="1"/>
      </rPr>
      <t> </t>
    </r>
  </si>
  <si>
    <r>
      <t>2.</t>
    </r>
    <r>
      <rPr>
        <sz val="7"/>
        <rFont val="Times New Roman"/>
        <family val="1"/>
      </rPr>
      <t> </t>
    </r>
  </si>
  <si>
    <r>
      <t>3.</t>
    </r>
    <r>
      <rPr>
        <sz val="7"/>
        <rFont val="Times New Roman"/>
        <family val="1"/>
      </rPr>
      <t> </t>
    </r>
  </si>
  <si>
    <t>Notes (will not print)</t>
  </si>
  <si>
    <t>%Effort/Effort Month Calculator</t>
  </si>
  <si>
    <t>% Effort</t>
  </si>
  <si>
    <t>Cal</t>
  </si>
  <si>
    <t>Acad</t>
  </si>
  <si>
    <t>Sum</t>
  </si>
  <si>
    <t>If you know the percent effort but not the corresponding months, please use cells below to calculate.  Enter a percentage below (yellow field) and copy/paste the proper effort month (white) into the corresponding field.</t>
  </si>
  <si>
    <t>Fnd/Prof Soc</t>
  </si>
  <si>
    <t>9. Additional Senior/Key Personnel</t>
  </si>
  <si>
    <t>Enter Additional Senior Key Personnel (up to 15) on the bottom of the worksheet.  The detail will not print, only the summary of the additional personnel in the Senior/Key Person section.</t>
  </si>
  <si>
    <t>Additional Investigator Pending Effort</t>
  </si>
  <si>
    <t>ADDITIONAL SENIOR PERSONNEL</t>
  </si>
  <si>
    <t>TOTAL ADDITIONAL SENIOR SUMMER</t>
  </si>
  <si>
    <t>TOTAL ADDITIONAL SENIOR ACADEMIC</t>
  </si>
  <si>
    <t>TOTAL ADDITIONAL SENIOR CALENDAR</t>
  </si>
  <si>
    <t>TOTAL ADDTNL SENIOR PERSONNEL</t>
  </si>
  <si>
    <t>Additional Investigator Pending Effort (Cont.)</t>
  </si>
  <si>
    <t>Justification</t>
  </si>
  <si>
    <t>Justification Page</t>
  </si>
  <si>
    <t>Justification (Does not print on this page, you must print from Justification page)</t>
  </si>
  <si>
    <t>F&amp;A Description</t>
  </si>
  <si>
    <t>Instruction - Off Campus</t>
  </si>
  <si>
    <t>Other - Off Campus</t>
  </si>
  <si>
    <t>Other - On Campus</t>
  </si>
  <si>
    <t>Research - Off Campus</t>
  </si>
  <si>
    <t>Research - On Campus</t>
  </si>
  <si>
    <t>Instruction - On Campus</t>
  </si>
  <si>
    <t>Research - Off Campus - 26.00%</t>
  </si>
  <si>
    <t>Instruction - Off Campus - 26.00%</t>
  </si>
  <si>
    <t>Other - Off Campus - 26.00%</t>
  </si>
  <si>
    <t>F&amp;A Rate 2</t>
  </si>
  <si>
    <t>F&amp;A Description 2</t>
  </si>
  <si>
    <t>a. Personnel</t>
  </si>
  <si>
    <t>b. Fringe Benefits</t>
  </si>
  <si>
    <t>c. Travel</t>
  </si>
  <si>
    <t>d. Equipment</t>
  </si>
  <si>
    <t>e. Supplies</t>
  </si>
  <si>
    <t>f. Contractual</t>
  </si>
  <si>
    <t>g. Construction</t>
  </si>
  <si>
    <t>h. Other</t>
  </si>
  <si>
    <t>i. Total Direct Charges</t>
  </si>
  <si>
    <t>j. Indirect Charges</t>
  </si>
  <si>
    <t>k Totals</t>
  </si>
  <si>
    <t>6. Object Class Categories</t>
  </si>
  <si>
    <t>1.</t>
  </si>
  <si>
    <t>2.</t>
  </si>
  <si>
    <t>3.</t>
  </si>
  <si>
    <t>4.</t>
  </si>
  <si>
    <t>Estimated Unobligated Funds</t>
  </si>
  <si>
    <t>New or Revised Budget</t>
  </si>
  <si>
    <t>Federal
(c)</t>
  </si>
  <si>
    <t>Non-Federal
(d)</t>
  </si>
  <si>
    <t>Federal
(e)</t>
  </si>
  <si>
    <t>Non-Federal
(f)</t>
  </si>
  <si>
    <t>Total
(g)</t>
  </si>
  <si>
    <t>Catalog of Federal Domestic Assistance Number
(b)</t>
  </si>
  <si>
    <t xml:space="preserve">5. </t>
  </si>
  <si>
    <t>Totals</t>
  </si>
  <si>
    <t>Grant Program Function
or Activity
(a)</t>
  </si>
  <si>
    <t>GRANT PROGRAM, FUNCTION OR ACTIVITY</t>
  </si>
  <si>
    <t>Total
(5)</t>
  </si>
  <si>
    <t>SECTION B - BUDGET CATEGORIES</t>
  </si>
  <si>
    <t>SECTION A - BUDGET SUMMARY</t>
  </si>
  <si>
    <t>7. Program Income</t>
  </si>
  <si>
    <t>SECTION C - NON-FEDERAL RESOURCES</t>
  </si>
  <si>
    <t xml:space="preserve">12. </t>
  </si>
  <si>
    <t xml:space="preserve">11. </t>
  </si>
  <si>
    <t xml:space="preserve">10. </t>
  </si>
  <si>
    <t xml:space="preserve">9. </t>
  </si>
  <si>
    <t xml:space="preserve">8. </t>
  </si>
  <si>
    <t>SECTION D - FORCASTED CASH NEEDS</t>
  </si>
  <si>
    <t>SECTION E - BUDGET ESTIMATES OR FEDERAL FUNDS NEEDED FOR BALANCE OF THE PROJECT</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</si>
  <si>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</si>
  <si>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</si>
  <si>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</si>
  <si>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</si>
  <si>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</si>
  <si>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</si>
  <si>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</si>
  <si>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</si>
  <si>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</si>
  <si>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23. </t>
  </si>
  <si>
    <t>(b) Applicant</t>
  </si>
  <si>
    <t xml:space="preserve">(c) State </t>
  </si>
  <si>
    <t>(d) Other Sources</t>
  </si>
  <si>
    <t>(e) TOTALS</t>
  </si>
  <si>
    <t>(a) Grant Program</t>
  </si>
  <si>
    <r>
      <t xml:space="preserve">TOTAL </t>
    </r>
    <r>
      <rPr>
        <i/>
        <sz val="10"/>
        <rFont val="Arial"/>
        <family val="2"/>
      </rPr>
      <t>(sum of lines 8-11)</t>
    </r>
  </si>
  <si>
    <t>Non-Federal</t>
  </si>
  <si>
    <t>TOTAL (sum of lines 13 and 14)</t>
  </si>
  <si>
    <t>Total for 1st Year</t>
  </si>
  <si>
    <t>1st Quarter</t>
  </si>
  <si>
    <t>2nd Quarter</t>
  </si>
  <si>
    <t>3rd Quarter</t>
  </si>
  <si>
    <t>4th Quarter</t>
  </si>
  <si>
    <t>FUTURE FUNDING PERIODS (Years)</t>
  </si>
  <si>
    <t>(b) First</t>
  </si>
  <si>
    <t>(c) Second</t>
  </si>
  <si>
    <t>(d) Third</t>
  </si>
  <si>
    <t>(e) Fourth</t>
  </si>
  <si>
    <t>TOTAL (sum of lines 16-19)</t>
  </si>
  <si>
    <t>SECTION F - OTHER BUDGET INFORMATION</t>
  </si>
  <si>
    <t>Direct Charges:</t>
  </si>
  <si>
    <t>Remarks:</t>
  </si>
  <si>
    <t xml:space="preserve">22. </t>
  </si>
  <si>
    <t>Indirect Charges:</t>
  </si>
  <si>
    <t>BUDGET INFORMATION - Non-Construction Programs</t>
  </si>
  <si>
    <t>U.S. DEPARTMENT OF EDUCATION</t>
  </si>
  <si>
    <t>BUDGET INFORMATION</t>
  </si>
  <si>
    <t>NON-CONSTRUCTION PROGRAMS</t>
  </si>
  <si>
    <t>OMB Control Number:  1894-0008</t>
  </si>
  <si>
    <t xml:space="preserve">Name of Institution/Organization       </t>
  </si>
  <si>
    <t>Applicants requesting funding for only one year should complete the column under "Project Year 1."  Applicants requesting funding for multi-year grants should complete all applicable columns.  Please read all instructions before completing form.</t>
  </si>
  <si>
    <t>U.S. DEPARTMENT OF EDUCATION FUNDS</t>
  </si>
  <si>
    <t>Budget Categories</t>
  </si>
  <si>
    <t>Project Year 1</t>
  </si>
  <si>
    <t>(a)</t>
  </si>
  <si>
    <t>Project Year 2</t>
  </si>
  <si>
    <t>(b)</t>
  </si>
  <si>
    <t>Project Year 3</t>
  </si>
  <si>
    <t>(c)</t>
  </si>
  <si>
    <t>Project Year 4</t>
  </si>
  <si>
    <t>(d)</t>
  </si>
  <si>
    <t>Project Year 5</t>
  </si>
  <si>
    <t>(e)</t>
  </si>
  <si>
    <t>(f)</t>
  </si>
  <si>
    <r>
      <t xml:space="preserve">*Indirect Cost Information </t>
    </r>
    <r>
      <rPr>
        <b/>
        <i/>
        <sz val="10"/>
        <rFont val="Times New Roman"/>
        <family val="1"/>
      </rPr>
      <t>(To Be Completed by Your Business Office</t>
    </r>
    <r>
      <rPr>
        <b/>
        <sz val="10"/>
        <rFont val="Times New Roman"/>
        <family val="1"/>
      </rPr>
      <t>):</t>
    </r>
  </si>
  <si>
    <t>If you are requesting reimbursement for indirect costs on line 10, please answer the following questions:</t>
  </si>
  <si>
    <t>Syracuse University</t>
  </si>
  <si>
    <t>(2)</t>
  </si>
  <si>
    <t>If yes, please provide the following information:</t>
  </si>
  <si>
    <t>Period Covered by the Indirect Cost Rate Agreement: From:</t>
  </si>
  <si>
    <t>To</t>
  </si>
  <si>
    <t>(mm/dd/yyyy)</t>
  </si>
  <si>
    <t>(1)</t>
  </si>
  <si>
    <t>(3)</t>
  </si>
  <si>
    <t>12.</t>
  </si>
  <si>
    <t>5.</t>
  </si>
  <si>
    <t>6.</t>
  </si>
  <si>
    <t>7.</t>
  </si>
  <si>
    <t>8.</t>
  </si>
  <si>
    <t>9.</t>
  </si>
  <si>
    <t>10.</t>
  </si>
  <si>
    <t>11.</t>
  </si>
  <si>
    <t xml:space="preserve">Approving Federal agency:  </t>
  </si>
  <si>
    <t xml:space="preserve"> Is included in your approved Indirect Cost Rate Agreement?  or  </t>
  </si>
  <si>
    <t xml:space="preserve">ED     </t>
  </si>
  <si>
    <t>Do you have an Indirect Cost Rate Agreement approved by the Federal government?</t>
  </si>
  <si>
    <t>Personnel</t>
  </si>
  <si>
    <t>Equipment</t>
  </si>
  <si>
    <t>Supplies</t>
  </si>
  <si>
    <t>Contractual</t>
  </si>
  <si>
    <t>Construction</t>
  </si>
  <si>
    <t>Total Direct Costs (lines 1-8)</t>
  </si>
  <si>
    <t>Indirect Costs*</t>
  </si>
  <si>
    <t>Training Stipends</t>
  </si>
  <si>
    <t>Total Costs (lines 9-11)</t>
  </si>
  <si>
    <t xml:space="preserve">Complies with 34 CFR 76.564(c)(2)? </t>
  </si>
  <si>
    <t>The Indirect Cost Rate is:</t>
  </si>
  <si>
    <r>
      <t>Other</t>
    </r>
    <r>
      <rPr>
        <sz val="8"/>
        <rFont val="Times New Roman"/>
        <family val="1"/>
      </rPr>
      <t xml:space="preserve"> (please specify)</t>
    </r>
    <r>
      <rPr>
        <sz val="9"/>
        <rFont val="Times New Roman"/>
        <family val="1"/>
      </rPr>
      <t>:</t>
    </r>
  </si>
  <si>
    <t>No</t>
  </si>
  <si>
    <t>For Restricted Rate Programs (check one) -- Are you using a restricted indirect cost rate that:</t>
  </si>
  <si>
    <t>X</t>
  </si>
  <si>
    <t xml:space="preserve"> Restricted Indirect Cost Rate?</t>
  </si>
  <si>
    <t>DHHS</t>
  </si>
  <si>
    <t>Year 1 Bi-Monthly</t>
  </si>
  <si>
    <t>Added 524 sheet.</t>
  </si>
  <si>
    <t>Added 424a sheet.</t>
  </si>
  <si>
    <t>Updated Fringe Rates and tuition amounts.</t>
  </si>
  <si>
    <t>Added Year 1 Bi-Monthly compensation amount for all senior personnel in the File Copy Budget sheet.</t>
  </si>
  <si>
    <r>
      <t>4.</t>
    </r>
    <r>
      <rPr>
        <sz val="7"/>
        <rFont val="Times New Roman"/>
        <family val="1"/>
      </rPr>
      <t> </t>
    </r>
  </si>
  <si>
    <t>Rental/Lease of Non-SU Off-site Facilities</t>
  </si>
  <si>
    <t>c)  Rental/Lease of Non-SU Off-site Fac</t>
  </si>
  <si>
    <t>Expiration Date:  04/30/2014</t>
  </si>
  <si>
    <t>Updated 524 Sheet</t>
  </si>
  <si>
    <t>Fixed Total Other Senior Personnel to calculate correctly.</t>
  </si>
  <si>
    <t>Updated Fringe Benefits for FY15.</t>
  </si>
  <si>
    <t>FB</t>
  </si>
  <si>
    <t>SRCAL</t>
  </si>
  <si>
    <t>OTFUL</t>
  </si>
  <si>
    <t>OTTMP</t>
  </si>
  <si>
    <t>OTADJ</t>
  </si>
  <si>
    <t>OTUGR</t>
  </si>
  <si>
    <t>OTPDR</t>
  </si>
  <si>
    <t>OTESO</t>
  </si>
  <si>
    <t>f)   Adjunct Faculty</t>
  </si>
  <si>
    <t>e)  Extra Service &amp; Overload</t>
  </si>
  <si>
    <t>Extra Service &amp; Overload</t>
  </si>
  <si>
    <t>Adjunct Faculty</t>
  </si>
  <si>
    <t>PUBLI</t>
  </si>
  <si>
    <t>PURCH</t>
  </si>
  <si>
    <t>TUITIO</t>
  </si>
  <si>
    <t>TUITRM</t>
  </si>
  <si>
    <t>e)  Tuition - Scholarship</t>
  </si>
  <si>
    <t>SUBJCT</t>
  </si>
  <si>
    <t>Tuition - Remitted</t>
  </si>
  <si>
    <t>Tuition - Scholarship</t>
  </si>
  <si>
    <t>Human Subject</t>
  </si>
  <si>
    <t>Adjunct</t>
  </si>
  <si>
    <t>d)  Remitted Tuition Req of Agency</t>
  </si>
  <si>
    <t>Modular Budget Guidance:</t>
  </si>
  <si>
    <t>Annual Rounded Consortium Costs</t>
  </si>
  <si>
    <t>C. Total Direct and Indirect Costs (A+B)</t>
  </si>
  <si>
    <t>Funds Requested ($)</t>
  </si>
  <si>
    <t>* Funds Requested ($)</t>
  </si>
  <si>
    <t>Indirect Cost Base ($)</t>
  </si>
  <si>
    <t>Indirect Cost Rate (%)</t>
  </si>
  <si>
    <t>Indirect Cost Type</t>
  </si>
  <si>
    <t>B. Indirect Costs</t>
  </si>
  <si>
    <t>Total Direct Costs</t>
  </si>
  <si>
    <t>Consortium F&amp;A</t>
  </si>
  <si>
    <t>* Direct Cost less Consortium F&amp;A</t>
  </si>
  <si>
    <t>A. Direct Costs</t>
  </si>
  <si>
    <t>Suggested Modules To Request</t>
  </si>
  <si>
    <t>PHS 398 Modular Budget</t>
  </si>
  <si>
    <t>NIH Modular Budget (Salary Cap)</t>
  </si>
  <si>
    <t>NIH Salary Cap</t>
  </si>
  <si>
    <t>Direct</t>
  </si>
  <si>
    <t>Indirect</t>
  </si>
  <si>
    <t>NIH Grad Limit</t>
  </si>
  <si>
    <t>Grad</t>
  </si>
  <si>
    <t>Investigators</t>
  </si>
  <si>
    <t>Warnings:</t>
  </si>
  <si>
    <t>PTTRAV</t>
  </si>
  <si>
    <t>Other (Temp, wages)</t>
  </si>
  <si>
    <t>Federal - Other</t>
  </si>
  <si>
    <t>Federal - NIH</t>
  </si>
  <si>
    <t>Check NIH Grad Comp</t>
  </si>
  <si>
    <t xml:space="preserve"> </t>
  </si>
  <si>
    <t xml:space="preserve">      </t>
  </si>
  <si>
    <t>cond</t>
  </si>
  <si>
    <t>data valid</t>
  </si>
  <si>
    <t>Base salary should remain under $181,500 for calandar appointments and $128,562 for academic appointments.</t>
  </si>
  <si>
    <t>xxxxx</t>
  </si>
  <si>
    <t>OSA Fields</t>
  </si>
  <si>
    <t>MTDC-Fed</t>
  </si>
  <si>
    <t>MTDC-NonFed</t>
  </si>
  <si>
    <t>Number of Participants</t>
  </si>
  <si>
    <t>$250,000 per year, or when NIH FOA indicates that the modular format should be used.</t>
  </si>
  <si>
    <r>
      <t xml:space="preserve">1.   </t>
    </r>
    <r>
      <rPr>
        <sz val="10"/>
        <color theme="3"/>
        <rFont val="Arial"/>
        <family val="2"/>
      </rPr>
      <t>NIH modular budgets are applicable when Total Direct Costs, excluding subaward F&amp;A, are equal to or less than</t>
    </r>
  </si>
  <si>
    <t>NIH modular budget guidance.</t>
  </si>
  <si>
    <t>actual detail budget.</t>
  </si>
  <si>
    <t>use the ‘NIH Mod-Even Dist’, as it will evenly distribute modules.</t>
  </si>
  <si>
    <r>
      <rPr>
        <b/>
        <sz val="10"/>
        <color theme="3"/>
        <rFont val="Arial"/>
        <family val="2"/>
      </rPr>
      <t>2.</t>
    </r>
    <r>
      <rPr>
        <sz val="10"/>
        <color theme="3"/>
        <rFont val="Arial"/>
        <family val="2"/>
      </rPr>
      <t xml:space="preserve">   Ordinarily all years of a modular budget will have the same number of modules. In these cases,</t>
    </r>
  </si>
  <si>
    <r>
      <t xml:space="preserve">3.   </t>
    </r>
    <r>
      <rPr>
        <sz val="10"/>
        <color theme="3"/>
        <rFont val="Arial"/>
        <family val="2"/>
      </rPr>
      <t>In some instances, one year might have an additional module for specific reasons, such as accommodating</t>
    </r>
  </si>
  <si>
    <t>equipment requests or R21 proposals. In these cases, use the ‘NIH Mod-Free’ tab, as it will allow for uneven</t>
  </si>
  <si>
    <t>module distribution. Uneven modules must be explained in the ‘Additional Narrative Justification’ field of the</t>
  </si>
  <si>
    <t>NIH Grants.gov application package.</t>
  </si>
  <si>
    <r>
      <rPr>
        <b/>
        <sz val="10"/>
        <color theme="3"/>
        <rFont val="Arial"/>
        <family val="2"/>
      </rPr>
      <t>4.</t>
    </r>
    <r>
      <rPr>
        <sz val="10"/>
        <color theme="3"/>
        <rFont val="Arial"/>
        <family val="2"/>
      </rPr>
      <t xml:space="preserve">   The modular budget template automatically rounds to the nearest $25,000 module (up or down), in accordance with the</t>
    </r>
  </si>
  <si>
    <r>
      <rPr>
        <b/>
        <sz val="10"/>
        <color theme="3"/>
        <rFont val="Arial"/>
        <family val="2"/>
      </rPr>
      <t xml:space="preserve">5. </t>
    </r>
    <r>
      <rPr>
        <sz val="10"/>
        <color theme="3"/>
        <rFont val="Arial"/>
        <family val="2"/>
      </rPr>
      <t xml:space="preserve">  Please note that the OSP File Copy Budget and the Modular Budget might represent different totals, as the modular</t>
    </r>
  </si>
  <si>
    <r>
      <rPr>
        <b/>
        <sz val="10"/>
        <color theme="3"/>
        <rFont val="Arial"/>
        <family val="2"/>
      </rPr>
      <t>6.</t>
    </r>
    <r>
      <rPr>
        <sz val="10"/>
        <color theme="3"/>
        <rFont val="Arial"/>
        <family val="2"/>
      </rPr>
      <t xml:space="preserve">   If applicable, Annual Rounded Consortium Costs (Direct &amp; Indirect) to be included in the Consortium Justification.</t>
    </r>
  </si>
  <si>
    <t>budget tab is rounding to the nearest $25,000 module, while the OSP file copy budget is representing the</t>
  </si>
  <si>
    <t xml:space="preserve">Complete the red highlighted cells on “Personnel Yr 1” Tab (Mandatory Fields).   Insert the annual salary for each person and then enter the months effort requested. The salary requested and fringe benefits will calculate automatically.  </t>
  </si>
  <si>
    <t>Updated NIH Salary Cap and GA comp cap</t>
  </si>
  <si>
    <t>Changed wording in regards to NSF summer salary.</t>
  </si>
  <si>
    <t>File Copy tab, cell H79 referencing the wrong cell.</t>
  </si>
  <si>
    <t>Updated Fringe rates for FY16</t>
  </si>
  <si>
    <t>Fixed F&amp;A calculation for TDC.</t>
  </si>
  <si>
    <t>Fixed error checking for NIH Salary Cap.</t>
  </si>
  <si>
    <t>New F&amp;A rates</t>
  </si>
  <si>
    <t>Research - On Campus - 50.00%</t>
  </si>
  <si>
    <t>Instruction - On Campus - 34.00%</t>
  </si>
  <si>
    <t>Other - On Campus - 35.00%</t>
  </si>
  <si>
    <t>F&amp;A incorrectly calculating.  Changed second lookup table.</t>
  </si>
  <si>
    <t>Base salary should remain under $185,100 for calandar appointments and $131,112 for academic appointments.</t>
  </si>
  <si>
    <t xml:space="preserve">Updated the NIH salary cap numbers. </t>
  </si>
  <si>
    <t>Updated Fringe Benefits for FY17</t>
  </si>
  <si>
    <t>Updated Grad pay ceiling to $43,362 for NIH.</t>
  </si>
  <si>
    <t>Updated Fringe Benefits for FY18</t>
  </si>
  <si>
    <t>Updated the NIH Salary Caps</t>
  </si>
  <si>
    <t>Lab/ Technical Project Manager (Staff)</t>
  </si>
  <si>
    <t>CUSE Grant Program Budget</t>
  </si>
  <si>
    <t xml:space="preserve">For Graduate Assistants, the fringe benefit rate is default to Syracuse University's current internal GA fringe rate. The number of students must be entered in Cell B23.  </t>
  </si>
  <si>
    <t>CUSE Grants Program Budget Template</t>
  </si>
  <si>
    <t>CUSE Grant Budget:</t>
  </si>
  <si>
    <t>The CUSE Grant Budget is a read-only summary compilation of all entered budget data.  CUSE Grant Applications must include the 'CUSE Grant Budget' form for the budget section. Review the assembled budget for accuracy and if changes are desired, the edits will need to be made on the appropriate data-entry forms preceding the CUSE Grant Budget Form.</t>
  </si>
  <si>
    <t>FY18 - $1,500</t>
  </si>
  <si>
    <t>1)  Requested Amount</t>
  </si>
  <si>
    <t>Amount</t>
  </si>
  <si>
    <t>FY21 - $1683</t>
  </si>
  <si>
    <t>Personnel Year 2:</t>
  </si>
  <si>
    <t>Personnel Data from Personnel Year 1 tab will be automatically entered in “Personnel Yr 2”.</t>
  </si>
  <si>
    <t>Complete all of Section "A."</t>
  </si>
  <si>
    <t>Salary escalation for the out years has a preset default of 3%.</t>
  </si>
  <si>
    <t>3)  Alterations &amp; Renovations</t>
  </si>
  <si>
    <t>4)  Other</t>
  </si>
  <si>
    <t>H.  TOTAL REQUEST</t>
  </si>
  <si>
    <t>d)  Human Subject</t>
  </si>
  <si>
    <t>Print only this sheet to PDF and upload to the Application Portal.</t>
  </si>
  <si>
    <t>To print to PDF:</t>
  </si>
  <si>
    <t>Go to File -&gt; Save as Adobe PDF</t>
  </si>
  <si>
    <t>Or</t>
  </si>
  <si>
    <t>File -&gt; Print -&gt; Adobe PDF</t>
  </si>
  <si>
    <t xml:space="preserve">   2)  Lab/Technical Project Manager (Staff)</t>
  </si>
  <si>
    <t>Directions for Completing the CUSE Grant Program Template - FY22 Rates</t>
  </si>
  <si>
    <t>Last Updated: 12/10/2021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</si>
</sst>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quot;$&quot;#,##0"/>
  </numFmts>
  <fonts count="43" x14ac:knownFonts="1">
    <font>
      <sz val="10"/>
      <name val="Arial"/>
    </font>
    <font>
      <sz val="10"/>
      <name val="Arial"/>
      <family val="2"/>
    </font>
    <font>
      <b/>
      <sz val="14"/>
      <name val="Arial"/>
      <family val="2"/>
    </font>
    <font>
      <sz val="10"/>
      <name val="Arial"/>
      <family val="2"/>
    </font>
    <font>
      <b/>
      <sz val="10"/>
      <name val="Arial"/>
      <family val="2"/>
    </font>
    <font>
      <sz val="8"/>
      <name val="Arial"/>
      <family val="2"/>
    </font>
    <font>
      <sz val="10"/>
      <color indexed="8"/>
      <name val="Arial"/>
      <family val="2"/>
    </font>
    <font>
      <sz val="10"/>
      <color indexed="8"/>
      <name val="Arial"/>
      <family val="2"/>
    </font>
    <font>
      <b/>
      <sz val="12"/>
      <name val="Times New Roman"/>
      <family val="1"/>
    </font>
    <font>
      <b/>
      <i/>
      <sz val="12"/>
      <name val="Arial"/>
      <family val="2"/>
    </font>
    <font>
      <b/>
      <i/>
      <sz val="11"/>
      <name val="Arial"/>
      <family val="2"/>
    </font>
    <font>
      <b/>
      <i/>
      <sz val="10"/>
      <name val="Arial"/>
      <family val="2"/>
    </font>
    <font>
      <b/>
      <sz val="10"/>
      <name val="Arial"/>
      <family val="2"/>
    </font>
    <font>
      <i/>
      <sz val="10"/>
      <name val="Arial"/>
      <family val="2"/>
    </font>
    <font>
      <b/>
      <sz val="9"/>
      <name val="Arial"/>
      <family val="2"/>
    </font>
    <font>
      <b/>
      <sz val="11"/>
      <name val="Arial"/>
      <family val="2"/>
    </font>
    <font>
      <sz val="11"/>
      <name val="Arial"/>
      <family val="2"/>
    </font>
    <font>
      <i/>
      <sz val="10"/>
      <name val="Arial"/>
      <family val="2"/>
    </font>
    <font>
      <b/>
      <sz val="12"/>
      <name val="Arial"/>
      <family val="2"/>
    </font>
    <font>
      <b/>
      <u/>
      <sz val="11"/>
      <name val="Arial"/>
      <family val="2"/>
    </font>
    <font>
      <sz val="7"/>
      <name val="Times New Roman"/>
      <family val="1"/>
    </font>
    <font>
      <sz val="16"/>
      <name val="Arial"/>
      <family val="2"/>
    </font>
    <font>
      <b/>
      <sz val="11"/>
      <name val="Arial"/>
      <family val="2"/>
    </font>
    <font>
      <sz val="10"/>
      <name val="Times New Roman"/>
      <family val="1"/>
    </font>
    <font>
      <b/>
      <sz val="10"/>
      <name val="Times New Roman"/>
      <family val="1"/>
    </font>
    <font>
      <b/>
      <sz val="11"/>
      <name val="Times New Roman"/>
      <family val="1"/>
    </font>
    <font>
      <b/>
      <i/>
      <sz val="10"/>
      <name val="Times New Roman"/>
      <family val="1"/>
    </font>
    <font>
      <sz val="9"/>
      <name val="Times New Roman"/>
      <family val="1"/>
    </font>
    <font>
      <sz val="8"/>
      <name val="Times New Roman"/>
      <family val="1"/>
    </font>
    <font>
      <sz val="10"/>
      <color theme="3"/>
      <name val="Arial"/>
      <family val="2"/>
    </font>
    <font>
      <b/>
      <sz val="10"/>
      <color theme="3"/>
      <name val="Arial"/>
      <family val="2"/>
    </font>
    <font>
      <b/>
      <i/>
      <sz val="10"/>
      <color theme="3"/>
      <name val="Arial"/>
      <family val="2"/>
    </font>
    <font>
      <b/>
      <sz val="14"/>
      <color indexed="8"/>
      <name val="Arial"/>
      <family val="1"/>
      <charset val="204"/>
    </font>
    <font>
      <sz val="8"/>
      <color indexed="8"/>
      <name val="Arial"/>
      <family val="1"/>
      <charset val="204"/>
    </font>
    <font>
      <b/>
      <sz val="10"/>
      <color theme="0"/>
      <name val="Arial"/>
      <family val="2"/>
    </font>
    <font>
      <sz val="10"/>
      <color theme="0"/>
      <name val="Arial"/>
      <family val="2"/>
    </font>
    <font>
      <b/>
      <u/>
      <sz val="12"/>
      <name val="Arial"/>
      <family val="2"/>
    </font>
    <font>
      <b/>
      <sz val="10"/>
      <color rgb="FFFF0000"/>
      <name val="Arial"/>
      <family val="2"/>
    </font>
    <font>
      <sz val="10"/>
      <color theme="1"/>
      <name val="Arial"/>
      <family val="2"/>
    </font>
    <font>
      <sz val="10"/>
      <color rgb="FFFF0000"/>
      <name val="Arial"/>
      <family val="2"/>
    </font>
    <font>
      <u/>
      <sz val="10"/>
      <color theme="10"/>
      <name val="Arial"/>
      <family val="2"/>
    </font>
    <font>
      <sz val="10"/>
      <color theme="6" tint="-0.249977111117893"/>
      <name val="Arial"/>
      <family val="2"/>
    </font>
    <font>
      <i/>
      <sz val="11"/>
      <name val="Arial"/>
      <family val="2"/>
    </font>
  </fonts>
  <fills count="1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9"/>
        <bgColor indexed="9"/>
      </patternFill>
    </fill>
    <fill>
      <patternFill patternType="solid">
        <fgColor indexed="44"/>
        <bgColor indexed="64"/>
      </patternFill>
    </fill>
    <fill>
      <patternFill patternType="solid">
        <fgColor indexed="38"/>
        <bgColor indexed="64"/>
      </patternFill>
    </fill>
    <fill>
      <patternFill patternType="solid">
        <fgColor indexed="15"/>
        <bgColor indexed="64"/>
      </patternFill>
    </fill>
    <fill>
      <patternFill patternType="solid">
        <fgColor indexed="13"/>
        <bgColor indexed="64"/>
      </patternFill>
    </fill>
    <fill>
      <patternFill patternType="solid">
        <fgColor indexed="10"/>
        <bgColor indexed="64"/>
      </patternFill>
    </fill>
    <fill>
      <patternFill patternType="solid">
        <fgColor indexed="22"/>
        <bgColor indexed="9"/>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indexed="22"/>
        <bgColor auto="1"/>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11">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right style="double">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applyNumberFormat="0" applyFill="0" applyBorder="0" applyAlignment="0" applyProtection="0"/>
  </cellStyleXfs>
  <cellXfs count="939">
    <xf numFmtId="0" fontId="0" fillId="0" borderId="0" xfId="0"/>
    <xf numFmtId="0" fontId="3" fillId="0" borderId="0" xfId="0" applyFont="1" applyAlignment="1" applyProtection="1">
      <alignment horizontal="center"/>
    </xf>
    <xf numFmtId="0" fontId="0" fillId="0" borderId="0" xfId="0" applyProtection="1"/>
    <xf numFmtId="0" fontId="4" fillId="0" borderId="0" xfId="0" applyFont="1" applyAlignment="1" applyProtection="1">
      <alignment horizontal="center" wrapText="1"/>
    </xf>
    <xf numFmtId="0" fontId="4" fillId="0" borderId="1" xfId="0" applyFont="1" applyBorder="1" applyAlignment="1" applyProtection="1">
      <alignment horizontal="center" wrapText="1"/>
    </xf>
    <xf numFmtId="0" fontId="4" fillId="0" borderId="0" xfId="0" applyFont="1"/>
    <xf numFmtId="0" fontId="0" fillId="0" borderId="2" xfId="0" applyBorder="1" applyProtection="1">
      <protection locked="0"/>
    </xf>
    <xf numFmtId="0" fontId="0" fillId="0" borderId="3" xfId="0" applyBorder="1" applyProtection="1">
      <protection locked="0"/>
    </xf>
    <xf numFmtId="0" fontId="0" fillId="0" borderId="4" xfId="0" applyBorder="1" applyAlignment="1" applyProtection="1">
      <protection locked="0"/>
    </xf>
    <xf numFmtId="0" fontId="0" fillId="0" borderId="0" xfId="0" applyBorder="1"/>
    <xf numFmtId="0" fontId="0" fillId="0" borderId="0" xfId="0" applyBorder="1" applyAlignment="1">
      <alignment horizontal="right"/>
    </xf>
    <xf numFmtId="0" fontId="4" fillId="0" borderId="0" xfId="0" applyFont="1" applyBorder="1" applyAlignment="1">
      <alignment horizontal="right"/>
    </xf>
    <xf numFmtId="0" fontId="4" fillId="0" borderId="0" xfId="0" applyFont="1" applyAlignment="1"/>
    <xf numFmtId="0" fontId="4" fillId="0" borderId="0" xfId="0" applyFont="1" applyAlignment="1">
      <alignment horizontal="center"/>
    </xf>
    <xf numFmtId="0" fontId="0" fillId="0" borderId="1" xfId="0" applyBorder="1" applyAlignment="1">
      <alignment horizontal="center"/>
    </xf>
    <xf numFmtId="0" fontId="4" fillId="0" borderId="0" xfId="0" applyFont="1" applyAlignment="1">
      <alignment horizontal="center" wrapText="1"/>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Alignment="1" applyProtection="1">
      <alignment horizontal="right"/>
      <protection locked="0"/>
    </xf>
    <xf numFmtId="0" fontId="0" fillId="0" borderId="9" xfId="0" applyBorder="1" applyProtection="1">
      <protection locked="0"/>
    </xf>
    <xf numFmtId="0" fontId="0" fillId="0" borderId="10" xfId="0" applyBorder="1" applyAlignment="1" applyProtection="1">
      <alignment horizontal="right"/>
      <protection locked="0"/>
    </xf>
    <xf numFmtId="0" fontId="0" fillId="0" borderId="10" xfId="0" applyBorder="1" applyProtection="1">
      <protection locked="0"/>
    </xf>
    <xf numFmtId="0" fontId="0" fillId="0" borderId="11" xfId="0" applyBorder="1" applyAlignment="1"/>
    <xf numFmtId="0" fontId="0" fillId="0" borderId="0" xfId="0" applyAlignment="1"/>
    <xf numFmtId="0" fontId="0" fillId="0" borderId="0" xfId="0" applyAlignment="1">
      <alignment horizontal="right"/>
    </xf>
    <xf numFmtId="10" fontId="0" fillId="0" borderId="0" xfId="0" applyNumberFormat="1"/>
    <xf numFmtId="0" fontId="0" fillId="2" borderId="4" xfId="0" applyFill="1" applyBorder="1" applyProtection="1"/>
    <xf numFmtId="0" fontId="0" fillId="0" borderId="12" xfId="0" applyBorder="1" applyProtection="1">
      <protection locked="0"/>
    </xf>
    <xf numFmtId="0" fontId="0" fillId="0" borderId="13" xfId="0" applyBorder="1" applyProtection="1">
      <protection locked="0"/>
    </xf>
    <xf numFmtId="0" fontId="0" fillId="0" borderId="13" xfId="0" applyBorder="1" applyAlignment="1" applyProtection="1">
      <alignment horizontal="right"/>
      <protection locked="0"/>
    </xf>
    <xf numFmtId="0" fontId="3" fillId="0" borderId="0" xfId="0" applyFont="1" applyProtection="1"/>
    <xf numFmtId="0" fontId="0" fillId="0" borderId="0" xfId="0" applyBorder="1" applyAlignment="1"/>
    <xf numFmtId="0" fontId="4" fillId="0" borderId="14" xfId="0" applyFont="1" applyBorder="1"/>
    <xf numFmtId="0" fontId="0" fillId="0" borderId="11" xfId="0" applyBorder="1"/>
    <xf numFmtId="0" fontId="2" fillId="0" borderId="0" xfId="0" applyFont="1" applyAlignment="1" applyProtection="1"/>
    <xf numFmtId="0" fontId="4" fillId="0" borderId="2" xfId="0" applyFont="1" applyBorder="1" applyAlignment="1"/>
    <xf numFmtId="3" fontId="0" fillId="0" borderId="15" xfId="0" applyNumberFormat="1" applyBorder="1" applyAlignment="1"/>
    <xf numFmtId="3" fontId="0" fillId="3" borderId="16" xfId="0" applyNumberFormat="1" applyFill="1" applyBorder="1" applyAlignment="1"/>
    <xf numFmtId="3" fontId="0" fillId="3" borderId="15" xfId="0" applyNumberFormat="1" applyFill="1" applyBorder="1" applyAlignment="1"/>
    <xf numFmtId="0" fontId="4" fillId="0" borderId="1" xfId="0" applyFont="1" applyBorder="1" applyAlignment="1">
      <alignment horizontal="center" wrapText="1"/>
    </xf>
    <xf numFmtId="3" fontId="0" fillId="0" borderId="6" xfId="0" applyNumberFormat="1" applyBorder="1" applyProtection="1">
      <protection locked="0"/>
    </xf>
    <xf numFmtId="3" fontId="0" fillId="0" borderId="10" xfId="0" applyNumberFormat="1" applyBorder="1" applyAlignment="1" applyProtection="1">
      <alignment horizontal="right"/>
      <protection locked="0"/>
    </xf>
    <xf numFmtId="3" fontId="0" fillId="0" borderId="13" xfId="0" applyNumberFormat="1" applyBorder="1" applyAlignment="1" applyProtection="1">
      <alignment horizontal="right"/>
      <protection locked="0"/>
    </xf>
    <xf numFmtId="3" fontId="0" fillId="2" borderId="10" xfId="0" applyNumberFormat="1" applyFill="1" applyBorder="1" applyProtection="1"/>
    <xf numFmtId="3" fontId="0" fillId="2" borderId="6" xfId="0" applyNumberFormat="1" applyFill="1" applyBorder="1" applyProtection="1"/>
    <xf numFmtId="3" fontId="0" fillId="2" borderId="17" xfId="0" applyNumberFormat="1" applyFill="1" applyBorder="1" applyProtection="1"/>
    <xf numFmtId="3" fontId="0" fillId="2" borderId="10" xfId="0" applyNumberFormat="1" applyFill="1" applyBorder="1" applyAlignment="1" applyProtection="1">
      <alignment horizontal="right"/>
    </xf>
    <xf numFmtId="3" fontId="0" fillId="2" borderId="18" xfId="0" applyNumberFormat="1" applyFill="1" applyBorder="1" applyAlignment="1" applyProtection="1">
      <alignment horizontal="right"/>
    </xf>
    <xf numFmtId="3" fontId="0" fillId="2" borderId="8" xfId="0" applyNumberFormat="1" applyFill="1" applyBorder="1" applyProtection="1"/>
    <xf numFmtId="3" fontId="0" fillId="2" borderId="19" xfId="0" applyNumberFormat="1" applyFill="1" applyBorder="1" applyProtection="1"/>
    <xf numFmtId="3" fontId="0" fillId="2" borderId="15" xfId="0" applyNumberFormat="1" applyFill="1" applyBorder="1" applyProtection="1"/>
    <xf numFmtId="3" fontId="0" fillId="2" borderId="13" xfId="0" applyNumberFormat="1" applyFill="1" applyBorder="1" applyProtection="1"/>
    <xf numFmtId="3" fontId="0" fillId="0" borderId="8" xfId="0" applyNumberFormat="1" applyBorder="1" applyAlignment="1" applyProtection="1">
      <alignment horizontal="right"/>
      <protection locked="0"/>
    </xf>
    <xf numFmtId="3" fontId="0" fillId="0" borderId="10" xfId="0" applyNumberFormat="1" applyBorder="1" applyProtection="1">
      <protection locked="0"/>
    </xf>
    <xf numFmtId="3" fontId="0" fillId="0" borderId="13" xfId="0" applyNumberFormat="1" applyBorder="1" applyProtection="1">
      <protection locked="0"/>
    </xf>
    <xf numFmtId="3" fontId="0" fillId="2" borderId="4" xfId="0" applyNumberFormat="1" applyFill="1" applyBorder="1" applyAlignment="1" applyProtection="1">
      <alignment horizontal="right"/>
    </xf>
    <xf numFmtId="3" fontId="0" fillId="0" borderId="17" xfId="0" applyNumberFormat="1" applyBorder="1" applyAlignment="1"/>
    <xf numFmtId="3" fontId="0" fillId="3" borderId="20" xfId="0" applyNumberFormat="1" applyFill="1" applyBorder="1" applyAlignment="1"/>
    <xf numFmtId="3" fontId="0" fillId="0" borderId="16" xfId="0" applyNumberFormat="1" applyBorder="1" applyAlignment="1"/>
    <xf numFmtId="3" fontId="0" fillId="0" borderId="16" xfId="0" applyNumberFormat="1" applyFill="1" applyBorder="1" applyAlignment="1"/>
    <xf numFmtId="3" fontId="4" fillId="3" borderId="16" xfId="0" applyNumberFormat="1" applyFont="1" applyFill="1" applyBorder="1" applyAlignment="1"/>
    <xf numFmtId="3" fontId="3" fillId="0" borderId="15" xfId="0" applyNumberFormat="1" applyFont="1" applyBorder="1" applyAlignment="1"/>
    <xf numFmtId="0" fontId="2" fillId="0" borderId="0" xfId="0" applyFont="1" applyAlignment="1" applyProtection="1">
      <alignment horizontal="center"/>
    </xf>
    <xf numFmtId="10" fontId="0" fillId="0" borderId="1" xfId="0" applyNumberFormat="1" applyBorder="1" applyProtection="1"/>
    <xf numFmtId="0" fontId="4" fillId="0" borderId="0" xfId="0" quotePrefix="1" applyFont="1"/>
    <xf numFmtId="3" fontId="0" fillId="0" borderId="6" xfId="0" applyNumberFormat="1" applyFill="1" applyBorder="1" applyProtection="1">
      <protection locked="0"/>
    </xf>
    <xf numFmtId="0" fontId="4" fillId="0" borderId="0" xfId="0" applyFont="1" applyProtection="1"/>
    <xf numFmtId="0" fontId="0" fillId="0" borderId="10" xfId="0" applyFill="1" applyBorder="1" applyAlignment="1" applyProtection="1">
      <alignment horizontal="right"/>
      <protection locked="0"/>
    </xf>
    <xf numFmtId="0" fontId="0" fillId="0" borderId="8"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0" xfId="0" applyAlignment="1" applyProtection="1"/>
    <xf numFmtId="0" fontId="0" fillId="0" borderId="0" xfId="0" applyAlignment="1" applyProtection="1">
      <alignment horizontal="right"/>
    </xf>
    <xf numFmtId="10" fontId="0" fillId="0" borderId="0" xfId="0" applyNumberFormat="1" applyBorder="1" applyProtection="1"/>
    <xf numFmtId="0" fontId="0" fillId="0" borderId="23" xfId="0" applyBorder="1" applyProtection="1">
      <protection locked="0"/>
    </xf>
    <xf numFmtId="14" fontId="0" fillId="0" borderId="0" xfId="0" applyNumberFormat="1" applyBorder="1" applyAlignment="1" applyProtection="1"/>
    <xf numFmtId="0" fontId="4" fillId="0" borderId="24" xfId="0" applyFont="1" applyBorder="1" applyAlignment="1" applyProtection="1">
      <alignment horizontal="center" wrapText="1"/>
    </xf>
    <xf numFmtId="0" fontId="4" fillId="0" borderId="0" xfId="0" applyFont="1" applyBorder="1" applyAlignment="1"/>
    <xf numFmtId="0" fontId="0" fillId="0" borderId="1" xfId="0" applyBorder="1"/>
    <xf numFmtId="0" fontId="11" fillId="0" borderId="0" xfId="0" applyFont="1" applyBorder="1" applyAlignment="1">
      <alignment horizontal="center"/>
    </xf>
    <xf numFmtId="0" fontId="0" fillId="2" borderId="0" xfId="0" applyFill="1"/>
    <xf numFmtId="0" fontId="3" fillId="2" borderId="0" xfId="0" applyNumberFormat="1" applyFont="1" applyFill="1" applyBorder="1" applyAlignment="1">
      <alignment horizontal="left"/>
    </xf>
    <xf numFmtId="0" fontId="12" fillId="2" borderId="25" xfId="0" applyFont="1" applyFill="1" applyBorder="1" applyAlignment="1">
      <alignment horizontal="right"/>
    </xf>
    <xf numFmtId="165" fontId="3" fillId="0" borderId="10" xfId="0" applyNumberFormat="1" applyFont="1" applyBorder="1" applyAlignment="1">
      <alignment horizontal="right"/>
    </xf>
    <xf numFmtId="165" fontId="3" fillId="2" borderId="0" xfId="0" applyNumberFormat="1" applyFont="1" applyFill="1" applyBorder="1" applyAlignment="1">
      <alignment horizontal="left"/>
    </xf>
    <xf numFmtId="165" fontId="3" fillId="2" borderId="0" xfId="0" applyNumberFormat="1" applyFont="1" applyFill="1" applyBorder="1" applyAlignment="1">
      <alignment horizontal="right"/>
    </xf>
    <xf numFmtId="165" fontId="3" fillId="2" borderId="26" xfId="0" applyNumberFormat="1" applyFont="1" applyFill="1" applyBorder="1" applyAlignment="1">
      <alignment horizontal="right"/>
    </xf>
    <xf numFmtId="37" fontId="3" fillId="2" borderId="0" xfId="0" applyNumberFormat="1" applyFont="1" applyFill="1" applyBorder="1" applyAlignment="1">
      <alignment horizontal="right"/>
    </xf>
    <xf numFmtId="37" fontId="3" fillId="2" borderId="26" xfId="0" applyNumberFormat="1" applyFont="1" applyFill="1" applyBorder="1" applyAlignment="1">
      <alignment horizontal="right"/>
    </xf>
    <xf numFmtId="165" fontId="4" fillId="0" borderId="27" xfId="0" applyNumberFormat="1" applyFont="1" applyBorder="1" applyAlignment="1">
      <alignment horizontal="right"/>
    </xf>
    <xf numFmtId="165" fontId="4" fillId="0" borderId="10" xfId="0" applyNumberFormat="1" applyFont="1" applyBorder="1" applyAlignment="1">
      <alignment horizontal="right"/>
    </xf>
    <xf numFmtId="165" fontId="4" fillId="0" borderId="28" xfId="0" applyNumberFormat="1" applyFont="1" applyBorder="1" applyAlignment="1">
      <alignment horizontal="right"/>
    </xf>
    <xf numFmtId="0" fontId="13" fillId="0" borderId="29" xfId="0" applyFont="1" applyBorder="1" applyAlignment="1">
      <alignment horizontal="left" indent="2"/>
    </xf>
    <xf numFmtId="165" fontId="3" fillId="0" borderId="29" xfId="0" applyNumberFormat="1" applyFont="1" applyBorder="1" applyAlignment="1">
      <alignment horizontal="right"/>
    </xf>
    <xf numFmtId="0" fontId="0" fillId="2" borderId="0" xfId="0" applyFill="1" applyBorder="1" applyAlignment="1"/>
    <xf numFmtId="0" fontId="12" fillId="2" borderId="0" xfId="0" applyFont="1" applyFill="1" applyBorder="1" applyAlignment="1">
      <alignment horizontal="right"/>
    </xf>
    <xf numFmtId="0" fontId="0" fillId="0" borderId="3" xfId="0" applyBorder="1"/>
    <xf numFmtId="2" fontId="4" fillId="0" borderId="16" xfId="0" applyNumberFormat="1" applyFont="1" applyBorder="1" applyAlignment="1">
      <alignment horizontal="right"/>
    </xf>
    <xf numFmtId="2" fontId="4" fillId="0" borderId="10" xfId="0" applyNumberFormat="1" applyFont="1" applyBorder="1"/>
    <xf numFmtId="0" fontId="0" fillId="0" borderId="30" xfId="0" applyBorder="1"/>
    <xf numFmtId="0" fontId="0" fillId="0" borderId="30" xfId="0" applyBorder="1" applyAlignment="1">
      <alignment horizontal="right"/>
    </xf>
    <xf numFmtId="0" fontId="4" fillId="0" borderId="16" xfId="0" applyFont="1" applyBorder="1" applyAlignment="1">
      <alignment horizontal="right"/>
    </xf>
    <xf numFmtId="2" fontId="0" fillId="2" borderId="26" xfId="0" applyNumberFormat="1" applyFill="1" applyBorder="1"/>
    <xf numFmtId="0" fontId="4" fillId="0" borderId="16" xfId="0" applyFont="1" applyFill="1" applyBorder="1" applyAlignment="1">
      <alignment horizontal="right"/>
    </xf>
    <xf numFmtId="2" fontId="0" fillId="2" borderId="0" xfId="0" applyNumberFormat="1" applyFill="1" applyBorder="1"/>
    <xf numFmtId="0" fontId="0" fillId="0" borderId="30" xfId="0" applyFill="1" applyBorder="1" applyAlignment="1">
      <alignment horizontal="right"/>
    </xf>
    <xf numFmtId="0" fontId="0" fillId="0" borderId="31" xfId="0" applyBorder="1" applyAlignment="1">
      <alignment horizontal="right"/>
    </xf>
    <xf numFmtId="0" fontId="12" fillId="2" borderId="0" xfId="0" applyFont="1" applyFill="1" applyBorder="1" applyAlignment="1">
      <alignment horizontal="center"/>
    </xf>
    <xf numFmtId="0" fontId="0" fillId="0" borderId="0" xfId="0" applyFill="1" applyBorder="1" applyAlignment="1">
      <alignment horizontal="right"/>
    </xf>
    <xf numFmtId="2" fontId="0" fillId="0" borderId="0" xfId="0" applyNumberFormat="1" applyBorder="1"/>
    <xf numFmtId="0" fontId="4" fillId="0" borderId="0" xfId="0" applyFont="1" applyBorder="1" applyAlignment="1">
      <alignment horizontal="left" indent="1"/>
    </xf>
    <xf numFmtId="165" fontId="4" fillId="0" borderId="0" xfId="0" applyNumberFormat="1" applyFont="1" applyBorder="1" applyAlignment="1">
      <alignment horizontal="right"/>
    </xf>
    <xf numFmtId="0" fontId="3" fillId="0" borderId="0" xfId="0" applyFont="1" applyBorder="1"/>
    <xf numFmtId="165" fontId="3" fillId="0" borderId="0" xfId="0" applyNumberFormat="1" applyFont="1" applyBorder="1" applyAlignment="1">
      <alignment horizontal="right"/>
    </xf>
    <xf numFmtId="165" fontId="3" fillId="0" borderId="0" xfId="0" applyNumberFormat="1" applyFont="1" applyBorder="1"/>
    <xf numFmtId="165" fontId="4" fillId="0" borderId="0" xfId="0" applyNumberFormat="1" applyFont="1" applyBorder="1"/>
    <xf numFmtId="0" fontId="0" fillId="0" borderId="29" xfId="0" applyBorder="1"/>
    <xf numFmtId="0" fontId="0" fillId="5" borderId="35" xfId="0" applyFill="1" applyBorder="1" applyAlignment="1">
      <alignment horizontal="right"/>
    </xf>
    <xf numFmtId="0" fontId="0" fillId="5" borderId="16" xfId="0" applyFill="1" applyBorder="1" applyAlignment="1">
      <alignment horizontal="right"/>
    </xf>
    <xf numFmtId="0" fontId="0" fillId="5" borderId="26" xfId="0" applyFill="1" applyBorder="1" applyAlignment="1">
      <alignment horizontal="right"/>
    </xf>
    <xf numFmtId="165" fontId="4" fillId="0" borderId="45" xfId="0" applyNumberFormat="1" applyFont="1" applyBorder="1" applyAlignment="1">
      <alignment horizontal="right"/>
    </xf>
    <xf numFmtId="165" fontId="3" fillId="0" borderId="28" xfId="0" applyNumberFormat="1" applyFont="1" applyBorder="1" applyAlignment="1">
      <alignment horizontal="right"/>
    </xf>
    <xf numFmtId="0" fontId="12" fillId="2" borderId="16" xfId="0" applyFont="1" applyFill="1" applyBorder="1" applyAlignment="1">
      <alignment horizontal="center"/>
    </xf>
    <xf numFmtId="0" fontId="12" fillId="2" borderId="25" xfId="0" applyFont="1" applyFill="1" applyBorder="1" applyAlignment="1">
      <alignment horizontal="center"/>
    </xf>
    <xf numFmtId="0" fontId="0" fillId="0" borderId="23" xfId="0" applyBorder="1" applyAlignment="1">
      <alignment horizontal="right"/>
    </xf>
    <xf numFmtId="0" fontId="0" fillId="0" borderId="46" xfId="0" applyBorder="1"/>
    <xf numFmtId="14" fontId="0" fillId="0" borderId="0" xfId="0" applyNumberFormat="1"/>
    <xf numFmtId="165" fontId="3" fillId="0" borderId="22" xfId="0" applyNumberFormat="1" applyFont="1" applyBorder="1" applyAlignment="1">
      <alignment horizontal="right"/>
    </xf>
    <xf numFmtId="165" fontId="4" fillId="0" borderId="42" xfId="0" applyNumberFormat="1" applyFont="1" applyBorder="1" applyAlignment="1">
      <alignment horizontal="right"/>
    </xf>
    <xf numFmtId="165" fontId="0" fillId="5" borderId="35" xfId="0" applyNumberFormat="1" applyFill="1" applyBorder="1"/>
    <xf numFmtId="165" fontId="0" fillId="5" borderId="10" xfId="0" applyNumberFormat="1" applyFill="1" applyBorder="1"/>
    <xf numFmtId="165" fontId="0" fillId="5" borderId="8" xfId="0" applyNumberFormat="1" applyFill="1" applyBorder="1"/>
    <xf numFmtId="165" fontId="0" fillId="5" borderId="22" xfId="0" applyNumberFormat="1" applyFill="1" applyBorder="1"/>
    <xf numFmtId="165" fontId="4" fillId="5" borderId="34" xfId="0" applyNumberFormat="1" applyFont="1" applyFill="1" applyBorder="1"/>
    <xf numFmtId="165" fontId="4" fillId="5" borderId="28" xfId="0" applyNumberFormat="1" applyFont="1" applyFill="1" applyBorder="1"/>
    <xf numFmtId="165" fontId="0" fillId="0" borderId="16" xfId="0" applyNumberFormat="1" applyBorder="1"/>
    <xf numFmtId="165" fontId="0" fillId="0" borderId="10" xfId="0" applyNumberFormat="1" applyBorder="1"/>
    <xf numFmtId="165" fontId="4" fillId="0" borderId="38" xfId="0" applyNumberFormat="1" applyFont="1" applyBorder="1" applyAlignment="1">
      <alignment horizontal="right"/>
    </xf>
    <xf numFmtId="3" fontId="0" fillId="0" borderId="0" xfId="0" applyNumberFormat="1"/>
    <xf numFmtId="0" fontId="7" fillId="0" borderId="0" xfId="0" applyFont="1" applyFill="1" applyProtection="1">
      <protection locked="0"/>
    </xf>
    <xf numFmtId="14" fontId="0" fillId="0" borderId="1" xfId="0" applyNumberFormat="1" applyBorder="1" applyAlignment="1" applyProtection="1">
      <protection locked="0"/>
    </xf>
    <xf numFmtId="0" fontId="2" fillId="0" borderId="0" xfId="0" applyFont="1" applyAlignment="1" applyProtection="1">
      <alignment horizontal="center" vertical="top"/>
    </xf>
    <xf numFmtId="2" fontId="3" fillId="7" borderId="16" xfId="0" applyNumberFormat="1" applyFont="1" applyFill="1" applyBorder="1" applyAlignment="1">
      <alignment horizontal="right"/>
    </xf>
    <xf numFmtId="10" fontId="3" fillId="7" borderId="10" xfId="2" applyNumberFormat="1" applyFont="1" applyFill="1" applyBorder="1"/>
    <xf numFmtId="2" fontId="3" fillId="7" borderId="26" xfId="0" applyNumberFormat="1" applyFont="1" applyFill="1" applyBorder="1"/>
    <xf numFmtId="0" fontId="0" fillId="7" borderId="16" xfId="0" applyFill="1" applyBorder="1" applyAlignment="1">
      <alignment horizontal="right"/>
    </xf>
    <xf numFmtId="10" fontId="1" fillId="7" borderId="10" xfId="2" applyNumberFormat="1" applyFill="1" applyBorder="1"/>
    <xf numFmtId="2" fontId="0" fillId="7" borderId="26" xfId="0" applyNumberFormat="1" applyFill="1" applyBorder="1"/>
    <xf numFmtId="2" fontId="0" fillId="7" borderId="10" xfId="0" applyNumberFormat="1" applyFill="1" applyBorder="1"/>
    <xf numFmtId="2" fontId="0" fillId="7" borderId="16" xfId="0" applyNumberFormat="1" applyFill="1" applyBorder="1" applyAlignment="1">
      <alignment horizontal="right"/>
    </xf>
    <xf numFmtId="2" fontId="0" fillId="7" borderId="22" xfId="0" applyNumberFormat="1" applyFill="1" applyBorder="1"/>
    <xf numFmtId="0" fontId="0" fillId="7" borderId="34" xfId="0" applyFill="1" applyBorder="1" applyAlignment="1">
      <alignment horizontal="right"/>
    </xf>
    <xf numFmtId="10" fontId="1" fillId="7" borderId="28" xfId="2" applyNumberFormat="1" applyFill="1" applyBorder="1"/>
    <xf numFmtId="2" fontId="0" fillId="7" borderId="28" xfId="0" applyNumberFormat="1" applyFill="1" applyBorder="1"/>
    <xf numFmtId="3" fontId="0" fillId="2" borderId="21" xfId="0" applyNumberFormat="1" applyFill="1" applyBorder="1" applyProtection="1"/>
    <xf numFmtId="3" fontId="0" fillId="2" borderId="22" xfId="0" applyNumberFormat="1" applyFill="1" applyBorder="1" applyProtection="1"/>
    <xf numFmtId="0" fontId="0" fillId="0" borderId="50" xfId="0" applyNumberFormat="1" applyBorder="1" applyProtection="1">
      <protection locked="0"/>
    </xf>
    <xf numFmtId="0" fontId="0" fillId="0" borderId="5" xfId="0" applyNumberFormat="1" applyBorder="1" applyProtection="1">
      <protection locked="0"/>
    </xf>
    <xf numFmtId="0" fontId="0" fillId="0" borderId="9" xfId="0" applyNumberFormat="1" applyBorder="1" applyProtection="1">
      <protection locked="0"/>
    </xf>
    <xf numFmtId="0" fontId="0" fillId="0" borderId="51" xfId="0" applyNumberFormat="1" applyBorder="1" applyProtection="1">
      <protection locked="0"/>
    </xf>
    <xf numFmtId="0" fontId="0" fillId="0" borderId="52" xfId="0" applyNumberFormat="1" applyBorder="1" applyProtection="1">
      <protection locked="0"/>
    </xf>
    <xf numFmtId="0" fontId="0" fillId="0" borderId="53" xfId="0" applyBorder="1" applyProtection="1">
      <protection locked="0"/>
    </xf>
    <xf numFmtId="0" fontId="0" fillId="0" borderId="54" xfId="0" applyBorder="1" applyProtection="1">
      <protection locked="0"/>
    </xf>
    <xf numFmtId="0" fontId="0" fillId="0" borderId="52" xfId="0" applyBorder="1" applyProtection="1">
      <protection locked="0"/>
    </xf>
    <xf numFmtId="0" fontId="0" fillId="0" borderId="51" xfId="0" applyBorder="1" applyProtection="1">
      <protection locked="0"/>
    </xf>
    <xf numFmtId="0" fontId="0" fillId="0" borderId="55" xfId="0" applyBorder="1"/>
    <xf numFmtId="0" fontId="4" fillId="8" borderId="24" xfId="0" applyFont="1" applyFill="1" applyBorder="1" applyProtection="1"/>
    <xf numFmtId="10" fontId="0" fillId="9" borderId="56" xfId="0" applyNumberFormat="1" applyFill="1" applyBorder="1" applyProtection="1">
      <protection locked="0"/>
    </xf>
    <xf numFmtId="0" fontId="0" fillId="8" borderId="1" xfId="0" applyFill="1" applyBorder="1" applyProtection="1"/>
    <xf numFmtId="0" fontId="0" fillId="4" borderId="57" xfId="0" applyFill="1" applyBorder="1"/>
    <xf numFmtId="0" fontId="0" fillId="4" borderId="58" xfId="0" applyFill="1" applyBorder="1"/>
    <xf numFmtId="0" fontId="4" fillId="8" borderId="59" xfId="0" applyFont="1" applyFill="1" applyBorder="1" applyAlignment="1" applyProtection="1">
      <alignment horizontal="center"/>
    </xf>
    <xf numFmtId="0" fontId="4" fillId="8" borderId="24" xfId="0" applyFont="1" applyFill="1" applyBorder="1" applyAlignment="1" applyProtection="1">
      <alignment horizontal="center"/>
    </xf>
    <xf numFmtId="0" fontId="4" fillId="8" borderId="60" xfId="0" applyFont="1" applyFill="1" applyBorder="1" applyAlignment="1" applyProtection="1">
      <alignment horizontal="center"/>
    </xf>
    <xf numFmtId="0" fontId="0" fillId="0" borderId="61" xfId="0" applyBorder="1" applyProtection="1">
      <protection locked="0"/>
    </xf>
    <xf numFmtId="0" fontId="0" fillId="0" borderId="49" xfId="0" applyBorder="1" applyProtection="1">
      <protection locked="0"/>
    </xf>
    <xf numFmtId="3" fontId="0" fillId="0" borderId="6" xfId="0" applyNumberFormat="1" applyBorder="1" applyAlignment="1" applyProtection="1">
      <alignment horizontal="right"/>
      <protection locked="0"/>
    </xf>
    <xf numFmtId="0" fontId="0" fillId="0" borderId="6" xfId="0" applyBorder="1" applyAlignment="1" applyProtection="1">
      <alignment horizontal="right"/>
      <protection locked="0"/>
    </xf>
    <xf numFmtId="0" fontId="0" fillId="0" borderId="57" xfId="0" applyBorder="1" applyProtection="1">
      <protection locked="0"/>
    </xf>
    <xf numFmtId="3" fontId="0" fillId="2" borderId="57" xfId="0" applyNumberFormat="1" applyFill="1" applyBorder="1" applyProtection="1"/>
    <xf numFmtId="3" fontId="0" fillId="2" borderId="58" xfId="0" applyNumberFormat="1" applyFill="1" applyBorder="1" applyProtection="1"/>
    <xf numFmtId="0" fontId="0" fillId="0" borderId="7" xfId="0" applyNumberFormat="1" applyBorder="1" applyProtection="1">
      <protection locked="0"/>
    </xf>
    <xf numFmtId="0" fontId="3" fillId="0" borderId="6" xfId="0" applyFont="1" applyBorder="1" applyProtection="1">
      <protection locked="0"/>
    </xf>
    <xf numFmtId="3" fontId="0" fillId="2" borderId="62" xfId="0" applyNumberFormat="1" applyFill="1" applyBorder="1" applyProtection="1"/>
    <xf numFmtId="0" fontId="3" fillId="0" borderId="10" xfId="0" applyFont="1" applyBorder="1" applyProtection="1">
      <protection locked="0"/>
    </xf>
    <xf numFmtId="0" fontId="13" fillId="0" borderId="0" xfId="0" applyFont="1" applyBorder="1" applyAlignment="1">
      <alignment horizontal="left" indent="2"/>
    </xf>
    <xf numFmtId="165" fontId="3" fillId="2" borderId="48" xfId="0" applyNumberFormat="1" applyFont="1" applyFill="1" applyBorder="1" applyAlignment="1">
      <alignment horizontal="left"/>
    </xf>
    <xf numFmtId="165" fontId="3" fillId="2" borderId="48" xfId="0" applyNumberFormat="1" applyFont="1" applyFill="1" applyBorder="1" applyAlignment="1">
      <alignment horizontal="right"/>
    </xf>
    <xf numFmtId="165" fontId="3" fillId="2" borderId="16" xfId="0" applyNumberFormat="1" applyFont="1" applyFill="1" applyBorder="1" applyAlignment="1">
      <alignment horizontal="right"/>
    </xf>
    <xf numFmtId="0" fontId="16" fillId="0" borderId="0" xfId="0" applyFont="1" applyAlignment="1">
      <alignment horizontal="right" vertical="top" wrapText="1" readingOrder="1"/>
    </xf>
    <xf numFmtId="0" fontId="0" fillId="0" borderId="0" xfId="0"/>
    <xf numFmtId="0" fontId="3" fillId="0" borderId="0" xfId="0" applyFont="1"/>
    <xf numFmtId="49" fontId="0" fillId="0" borderId="0" xfId="0" applyNumberFormat="1" applyAlignment="1">
      <alignment vertical="top"/>
    </xf>
    <xf numFmtId="0" fontId="0" fillId="0" borderId="0" xfId="0" applyAlignment="1">
      <alignment vertical="top"/>
    </xf>
    <xf numFmtId="0" fontId="3" fillId="0" borderId="0" xfId="0" applyFont="1" applyAlignment="1" applyProtection="1">
      <alignment vertical="top"/>
    </xf>
    <xf numFmtId="49" fontId="0" fillId="0" borderId="0" xfId="0" applyNumberFormat="1" applyAlignment="1" applyProtection="1">
      <alignment vertical="top"/>
    </xf>
    <xf numFmtId="0" fontId="0" fillId="0" borderId="0" xfId="0" applyAlignment="1" applyProtection="1">
      <alignment vertical="top"/>
    </xf>
    <xf numFmtId="49" fontId="3" fillId="0" borderId="0" xfId="0" applyNumberFormat="1" applyFont="1" applyAlignment="1" applyProtection="1">
      <alignment horizontal="left" vertical="top"/>
    </xf>
    <xf numFmtId="0" fontId="0" fillId="0" borderId="0" xfId="0" applyNumberFormat="1" applyAlignment="1" applyProtection="1">
      <alignment horizontal="left" vertical="top"/>
    </xf>
    <xf numFmtId="49" fontId="0" fillId="0" borderId="0" xfId="0" applyNumberFormat="1" applyAlignment="1" applyProtection="1">
      <alignment horizontal="left" vertical="top"/>
    </xf>
    <xf numFmtId="0" fontId="0" fillId="0" borderId="0" xfId="0"/>
    <xf numFmtId="0" fontId="4" fillId="0" borderId="1" xfId="0" applyFont="1" applyBorder="1" applyAlignment="1"/>
    <xf numFmtId="0" fontId="0" fillId="0" borderId="0" xfId="0"/>
    <xf numFmtId="0" fontId="0" fillId="0" borderId="0" xfId="0"/>
    <xf numFmtId="0" fontId="0" fillId="0" borderId="0" xfId="0" applyAlignment="1">
      <alignment vertical="center" wrapText="1"/>
    </xf>
    <xf numFmtId="0" fontId="0" fillId="0" borderId="10" xfId="0" applyBorder="1" applyAlignment="1">
      <alignment vertical="center" wrapText="1"/>
    </xf>
    <xf numFmtId="165" fontId="0" fillId="0" borderId="10" xfId="0" applyNumberFormat="1" applyBorder="1" applyAlignment="1">
      <alignment vertical="center" wrapText="1"/>
    </xf>
    <xf numFmtId="165" fontId="0" fillId="0" borderId="10" xfId="0" applyNumberFormat="1" applyBorder="1" applyAlignment="1" applyProtection="1">
      <alignment vertical="center" wrapText="1"/>
    </xf>
    <xf numFmtId="165" fontId="0" fillId="12" borderId="10" xfId="0" applyNumberFormat="1" applyFill="1" applyBorder="1" applyAlignment="1" applyProtection="1">
      <alignment vertical="center" wrapText="1"/>
    </xf>
    <xf numFmtId="0" fontId="0" fillId="0" borderId="10" xfId="0" applyBorder="1" applyAlignment="1" applyProtection="1">
      <alignment vertical="center" wrapText="1"/>
    </xf>
    <xf numFmtId="0" fontId="3" fillId="0" borderId="10" xfId="0" applyNumberFormat="1" applyFont="1" applyBorder="1" applyAlignment="1" applyProtection="1">
      <alignment vertical="center" wrapText="1"/>
    </xf>
    <xf numFmtId="49" fontId="3" fillId="0" borderId="10" xfId="0" applyNumberFormat="1" applyFont="1" applyBorder="1" applyAlignment="1" applyProtection="1">
      <alignment vertical="center" wrapText="1"/>
    </xf>
    <xf numFmtId="0" fontId="3" fillId="0" borderId="10" xfId="0" applyFont="1" applyBorder="1" applyAlignment="1" applyProtection="1">
      <alignment horizontal="center" vertical="center" wrapText="1"/>
    </xf>
    <xf numFmtId="0" fontId="3" fillId="0" borderId="10" xfId="0" applyFont="1" applyBorder="1" applyAlignment="1" applyProtection="1">
      <alignment vertical="center" wrapText="1"/>
    </xf>
    <xf numFmtId="0" fontId="3" fillId="0" borderId="10" xfId="0" quotePrefix="1" applyFont="1" applyBorder="1" applyAlignment="1" applyProtection="1">
      <alignment vertical="center" wrapText="1"/>
    </xf>
    <xf numFmtId="0" fontId="0" fillId="0" borderId="10" xfId="0" applyBorder="1" applyAlignment="1" applyProtection="1">
      <alignment horizontal="center" vertical="center" wrapText="1"/>
    </xf>
    <xf numFmtId="49" fontId="3" fillId="0" borderId="10" xfId="0" applyNumberFormat="1" applyFont="1" applyBorder="1" applyAlignment="1" applyProtection="1">
      <alignment horizontal="right" vertical="center" wrapText="1"/>
    </xf>
    <xf numFmtId="165" fontId="0" fillId="0" borderId="10" xfId="0" applyNumberForma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xf numFmtId="0" fontId="0" fillId="0" borderId="0" xfId="0"/>
    <xf numFmtId="0" fontId="13" fillId="0" borderId="27" xfId="0" applyFont="1" applyBorder="1" applyAlignment="1">
      <alignment horizontal="left" indent="2"/>
    </xf>
    <xf numFmtId="0" fontId="13" fillId="0" borderId="80" xfId="0" applyFont="1" applyBorder="1" applyAlignment="1">
      <alignment horizontal="left" indent="2"/>
    </xf>
    <xf numFmtId="0" fontId="4" fillId="2" borderId="25" xfId="0" applyFont="1" applyFill="1" applyBorder="1" applyAlignment="1">
      <alignment horizontal="left" indent="1"/>
    </xf>
    <xf numFmtId="0" fontId="0" fillId="0" borderId="43" xfId="0" applyBorder="1"/>
    <xf numFmtId="0" fontId="0" fillId="0" borderId="90" xfId="0" applyBorder="1"/>
    <xf numFmtId="0" fontId="23" fillId="0" borderId="87" xfId="0" applyFont="1" applyBorder="1" applyAlignment="1">
      <alignment vertical="center" wrapText="1"/>
    </xf>
    <xf numFmtId="0" fontId="23" fillId="0" borderId="0" xfId="0" applyFont="1" applyBorder="1" applyAlignment="1">
      <alignment vertical="center" wrapText="1"/>
    </xf>
    <xf numFmtId="0" fontId="0" fillId="0" borderId="0" xfId="0" applyAlignment="1">
      <alignment vertical="center"/>
    </xf>
    <xf numFmtId="14" fontId="23" fillId="0" borderId="0" xfId="0" applyNumberFormat="1" applyFont="1" applyBorder="1" applyAlignment="1">
      <alignment horizontal="center" vertical="center" wrapText="1"/>
    </xf>
    <xf numFmtId="49" fontId="3" fillId="0" borderId="83" xfId="0" applyNumberFormat="1" applyFont="1" applyBorder="1" applyAlignment="1">
      <alignment vertical="center"/>
    </xf>
    <xf numFmtId="0" fontId="0" fillId="0" borderId="83" xfId="0" applyBorder="1" applyAlignment="1">
      <alignment vertical="center"/>
    </xf>
    <xf numFmtId="0" fontId="0" fillId="0" borderId="89" xfId="0" applyBorder="1" applyAlignment="1">
      <alignment vertical="center"/>
    </xf>
    <xf numFmtId="0" fontId="0" fillId="0" borderId="43" xfId="0" applyBorder="1" applyAlignment="1">
      <alignment vertical="center"/>
    </xf>
    <xf numFmtId="49" fontId="3" fillId="0" borderId="94" xfId="0" applyNumberFormat="1" applyFont="1" applyBorder="1" applyAlignment="1">
      <alignment vertical="center"/>
    </xf>
    <xf numFmtId="0" fontId="23" fillId="0" borderId="25" xfId="0" applyFont="1" applyBorder="1" applyAlignment="1" applyProtection="1">
      <alignment horizontal="center" vertical="center" wrapText="1"/>
      <protection locked="0"/>
    </xf>
    <xf numFmtId="0" fontId="0" fillId="0" borderId="48" xfId="0" applyBorder="1" applyAlignment="1" applyProtection="1">
      <alignment horizontal="right"/>
      <protection locked="0"/>
    </xf>
    <xf numFmtId="49" fontId="3" fillId="13" borderId="94" xfId="0" applyNumberFormat="1" applyFont="1" applyFill="1" applyBorder="1" applyAlignment="1">
      <alignment vertical="center"/>
    </xf>
    <xf numFmtId="0" fontId="0" fillId="0" borderId="25" xfId="0" applyBorder="1" applyAlignment="1" applyProtection="1">
      <alignment horizontal="center"/>
      <protection locked="0"/>
    </xf>
    <xf numFmtId="0" fontId="0" fillId="0" borderId="66" xfId="0" applyBorder="1" applyAlignment="1" applyProtection="1"/>
    <xf numFmtId="0" fontId="13" fillId="0" borderId="16" xfId="0" applyFont="1" applyBorder="1" applyAlignment="1"/>
    <xf numFmtId="0" fontId="14" fillId="2" borderId="25" xfId="0" applyFont="1" applyFill="1" applyBorder="1" applyAlignment="1"/>
    <xf numFmtId="165" fontId="3" fillId="0" borderId="16" xfId="0" applyNumberFormat="1" applyFont="1" applyBorder="1" applyAlignment="1"/>
    <xf numFmtId="0" fontId="13" fillId="0" borderId="34" xfId="0" applyFont="1" applyBorder="1" applyAlignment="1"/>
    <xf numFmtId="0" fontId="0" fillId="0" borderId="0" xfId="0"/>
    <xf numFmtId="0" fontId="0" fillId="0" borderId="67" xfId="0" applyBorder="1" applyAlignment="1" applyProtection="1"/>
    <xf numFmtId="0" fontId="0" fillId="0" borderId="47" xfId="0" applyBorder="1" applyProtection="1">
      <protection locked="0"/>
    </xf>
    <xf numFmtId="0" fontId="0" fillId="14" borderId="70" xfId="0" applyFill="1" applyBorder="1" applyAlignment="1" applyProtection="1">
      <protection locked="0"/>
    </xf>
    <xf numFmtId="0" fontId="0" fillId="0" borderId="0" xfId="0" applyAlignment="1">
      <alignment wrapText="1" readingOrder="1"/>
    </xf>
    <xf numFmtId="0" fontId="0" fillId="0" borderId="0" xfId="0"/>
    <xf numFmtId="0" fontId="16" fillId="0" borderId="0" xfId="0" applyFont="1" applyAlignment="1">
      <alignment horizontal="left" wrapText="1" readingOrder="1"/>
    </xf>
    <xf numFmtId="0" fontId="16" fillId="0" borderId="0" xfId="0" applyFont="1" applyAlignment="1">
      <alignment wrapText="1" readingOrder="1"/>
    </xf>
    <xf numFmtId="0" fontId="1" fillId="0" borderId="0" xfId="0" applyFont="1"/>
    <xf numFmtId="0" fontId="0" fillId="0" borderId="0" xfId="0" applyAlignment="1">
      <alignment horizontal="left" vertical="top"/>
    </xf>
    <xf numFmtId="0" fontId="0" fillId="0" borderId="0" xfId="0"/>
    <xf numFmtId="0" fontId="0" fillId="0" borderId="0" xfId="0"/>
    <xf numFmtId="0" fontId="0" fillId="0" borderId="0" xfId="0"/>
    <xf numFmtId="0" fontId="0" fillId="0" borderId="0" xfId="0" applyBorder="1" applyAlignment="1"/>
    <xf numFmtId="0" fontId="0" fillId="0" borderId="0" xfId="0"/>
    <xf numFmtId="0" fontId="0" fillId="0" borderId="66" xfId="0" applyBorder="1" applyProtection="1">
      <protection locked="0"/>
    </xf>
    <xf numFmtId="0" fontId="0" fillId="0" borderId="70" xfId="0" applyBorder="1" applyProtection="1">
      <protection locked="0"/>
    </xf>
    <xf numFmtId="0" fontId="0" fillId="0" borderId="78" xfId="0" applyBorder="1" applyProtection="1">
      <protection locked="0"/>
    </xf>
    <xf numFmtId="0" fontId="4" fillId="0" borderId="0" xfId="0" applyFont="1" applyBorder="1" applyAlignment="1">
      <alignment horizontal="right"/>
    </xf>
    <xf numFmtId="0" fontId="0" fillId="0" borderId="0" xfId="0"/>
    <xf numFmtId="0" fontId="0" fillId="0" borderId="0" xfId="0" applyAlignment="1"/>
    <xf numFmtId="0" fontId="0" fillId="0" borderId="0" xfId="0" applyBorder="1" applyAlignment="1"/>
    <xf numFmtId="0" fontId="0" fillId="0" borderId="46" xfId="0" applyBorder="1" applyProtection="1">
      <protection locked="0"/>
    </xf>
    <xf numFmtId="0" fontId="0" fillId="0" borderId="101" xfId="0" applyBorder="1" applyProtection="1">
      <protection locked="0"/>
    </xf>
    <xf numFmtId="0" fontId="0" fillId="0" borderId="68" xfId="0" applyBorder="1" applyProtection="1">
      <protection locked="0"/>
    </xf>
    <xf numFmtId="3" fontId="0" fillId="2" borderId="18" xfId="0" applyNumberFormat="1" applyFill="1" applyBorder="1" applyProtection="1"/>
    <xf numFmtId="0" fontId="0" fillId="0" borderId="9" xfId="0" applyBorder="1"/>
    <xf numFmtId="3" fontId="0" fillId="2" borderId="45" xfId="0" applyNumberFormat="1" applyFill="1" applyBorder="1" applyProtection="1"/>
    <xf numFmtId="3" fontId="0" fillId="2" borderId="27" xfId="0" applyNumberFormat="1" applyFill="1" applyBorder="1" applyProtection="1"/>
    <xf numFmtId="3" fontId="0" fillId="2" borderId="72" xfId="0" applyNumberFormat="1" applyFill="1" applyBorder="1" applyProtection="1"/>
    <xf numFmtId="3" fontId="0" fillId="0" borderId="17" xfId="0" applyNumberFormat="1" applyBorder="1" applyAlignment="1" applyProtection="1">
      <protection locked="0"/>
    </xf>
    <xf numFmtId="3" fontId="0" fillId="0" borderId="12" xfId="0" applyNumberFormat="1" applyBorder="1" applyAlignment="1" applyProtection="1">
      <protection locked="0"/>
    </xf>
    <xf numFmtId="3" fontId="0" fillId="0" borderId="15" xfId="0" applyNumberFormat="1" applyBorder="1" applyAlignment="1" applyProtection="1">
      <protection locked="0"/>
    </xf>
    <xf numFmtId="3" fontId="0" fillId="0" borderId="2" xfId="0" applyNumberFormat="1" applyBorder="1" applyAlignment="1" applyProtection="1">
      <protection locked="0"/>
    </xf>
    <xf numFmtId="3" fontId="0" fillId="0" borderId="15" xfId="0" applyNumberFormat="1" applyFill="1" applyBorder="1" applyAlignment="1" applyProtection="1">
      <protection locked="0"/>
    </xf>
    <xf numFmtId="3" fontId="0" fillId="0" borderId="2" xfId="0" applyNumberFormat="1" applyFill="1" applyBorder="1" applyAlignment="1" applyProtection="1">
      <protection locked="0"/>
    </xf>
    <xf numFmtId="3" fontId="6" fillId="2" borderId="76" xfId="0" applyNumberFormat="1" applyFont="1" applyFill="1" applyBorder="1" applyAlignment="1"/>
    <xf numFmtId="3" fontId="6" fillId="2" borderId="12" xfId="0" applyNumberFormat="1" applyFont="1" applyFill="1" applyBorder="1" applyAlignment="1"/>
    <xf numFmtId="3" fontId="6" fillId="2" borderId="17" xfId="0" applyNumberFormat="1" applyFont="1" applyFill="1" applyBorder="1" applyAlignment="1"/>
    <xf numFmtId="3" fontId="6" fillId="2" borderId="77" xfId="0" applyNumberFormat="1" applyFont="1" applyFill="1" applyBorder="1" applyAlignment="1"/>
    <xf numFmtId="0" fontId="1" fillId="0" borderId="0" xfId="3"/>
    <xf numFmtId="3" fontId="1" fillId="0" borderId="77" xfId="3" applyNumberFormat="1" applyBorder="1"/>
    <xf numFmtId="3" fontId="1" fillId="0" borderId="79" xfId="3" applyNumberFormat="1" applyBorder="1"/>
    <xf numFmtId="3" fontId="1" fillId="0" borderId="76" xfId="3" applyNumberFormat="1" applyBorder="1"/>
    <xf numFmtId="0" fontId="1" fillId="0" borderId="0" xfId="3" applyFont="1" applyAlignment="1">
      <alignment horizontal="right"/>
    </xf>
    <xf numFmtId="3" fontId="1" fillId="0" borderId="0" xfId="3" applyNumberFormat="1" applyBorder="1"/>
    <xf numFmtId="3" fontId="1" fillId="0" borderId="0" xfId="3" applyNumberFormat="1" applyFill="1" applyBorder="1"/>
    <xf numFmtId="3" fontId="1" fillId="0" borderId="18" xfId="3" applyNumberFormat="1" applyBorder="1"/>
    <xf numFmtId="3" fontId="1" fillId="0" borderId="13" xfId="3" applyNumberFormat="1" applyFill="1" applyBorder="1"/>
    <xf numFmtId="3" fontId="1" fillId="0" borderId="61" xfId="3" applyNumberFormat="1" applyFill="1" applyBorder="1"/>
    <xf numFmtId="0" fontId="1" fillId="0" borderId="0" xfId="3" applyFill="1" applyAlignment="1">
      <alignment horizontal="right"/>
    </xf>
    <xf numFmtId="0" fontId="4" fillId="0" borderId="0" xfId="3" applyFont="1"/>
    <xf numFmtId="3" fontId="1" fillId="0" borderId="15" xfId="3" applyNumberFormat="1" applyBorder="1"/>
    <xf numFmtId="3" fontId="1" fillId="0" borderId="10" xfId="3" applyNumberFormat="1" applyFill="1" applyBorder="1"/>
    <xf numFmtId="3" fontId="1" fillId="0" borderId="2" xfId="3" applyNumberFormat="1" applyFill="1" applyBorder="1"/>
    <xf numFmtId="4" fontId="1" fillId="0" borderId="0" xfId="3" applyNumberFormat="1"/>
    <xf numFmtId="0" fontId="1" fillId="0" borderId="0" xfId="3" applyFill="1"/>
    <xf numFmtId="3" fontId="1" fillId="0" borderId="10" xfId="3" applyNumberFormat="1" applyBorder="1"/>
    <xf numFmtId="3" fontId="1" fillId="0" borderId="2" xfId="3" applyNumberFormat="1" applyBorder="1"/>
    <xf numFmtId="10" fontId="1" fillId="0" borderId="10" xfId="3" applyNumberFormat="1" applyBorder="1"/>
    <xf numFmtId="10" fontId="1" fillId="0" borderId="2" xfId="3" applyNumberFormat="1" applyBorder="1"/>
    <xf numFmtId="0" fontId="1" fillId="0" borderId="0" xfId="3" applyAlignment="1">
      <alignment horizontal="right"/>
    </xf>
    <xf numFmtId="0" fontId="1" fillId="0" borderId="0" xfId="3" applyBorder="1" applyAlignment="1">
      <alignment horizontal="right"/>
    </xf>
    <xf numFmtId="0" fontId="1" fillId="0" borderId="0" xfId="3" applyFont="1" applyFill="1" applyAlignment="1">
      <alignment horizontal="right"/>
    </xf>
    <xf numFmtId="0" fontId="4" fillId="0" borderId="0" xfId="3" applyFont="1" applyAlignment="1">
      <alignment horizontal="right"/>
    </xf>
    <xf numFmtId="0" fontId="4" fillId="0" borderId="0" xfId="3" applyFont="1" applyFill="1"/>
    <xf numFmtId="0" fontId="1" fillId="0" borderId="77" xfId="3" applyBorder="1"/>
    <xf numFmtId="0" fontId="1" fillId="0" borderId="79" xfId="3" applyBorder="1"/>
    <xf numFmtId="0" fontId="1" fillId="0" borderId="76" xfId="3" applyBorder="1"/>
    <xf numFmtId="0" fontId="32" fillId="0" borderId="0" xfId="3" applyFont="1" applyAlignment="1">
      <alignment horizontal="left" vertical="top"/>
    </xf>
    <xf numFmtId="0" fontId="33" fillId="0" borderId="0" xfId="3" applyFont="1" applyFill="1" applyAlignment="1">
      <alignment horizontal="right" vertical="top"/>
    </xf>
    <xf numFmtId="3" fontId="1" fillId="0" borderId="0" xfId="3" applyNumberFormat="1"/>
    <xf numFmtId="14" fontId="1" fillId="0" borderId="0" xfId="3" applyNumberFormat="1"/>
    <xf numFmtId="165" fontId="0" fillId="0" borderId="0" xfId="0" applyNumberFormat="1" applyBorder="1"/>
    <xf numFmtId="3" fontId="0" fillId="2" borderId="69" xfId="0" applyNumberFormat="1" applyFill="1" applyBorder="1" applyProtection="1"/>
    <xf numFmtId="3" fontId="0" fillId="2" borderId="74" xfId="0" applyNumberFormat="1" applyFill="1" applyBorder="1" applyProtection="1"/>
    <xf numFmtId="3" fontId="0" fillId="2" borderId="60" xfId="0" applyNumberFormat="1" applyFill="1" applyBorder="1" applyAlignment="1" applyProtection="1">
      <alignment horizontal="right"/>
    </xf>
    <xf numFmtId="3" fontId="0" fillId="2" borderId="37" xfId="0" applyNumberFormat="1" applyFill="1" applyBorder="1" applyProtection="1"/>
    <xf numFmtId="3" fontId="0" fillId="2" borderId="72" xfId="0" applyNumberFormat="1" applyFill="1" applyBorder="1" applyAlignment="1" applyProtection="1">
      <alignment horizontal="right"/>
    </xf>
    <xf numFmtId="3" fontId="0" fillId="2" borderId="64" xfId="0" applyNumberFormat="1" applyFill="1" applyBorder="1" applyAlignment="1" applyProtection="1">
      <alignment horizontal="right"/>
    </xf>
    <xf numFmtId="3" fontId="1" fillId="0" borderId="0" xfId="0" applyNumberFormat="1" applyFont="1"/>
    <xf numFmtId="0" fontId="1" fillId="0" borderId="6" xfId="0" applyFont="1" applyBorder="1" applyProtection="1">
      <protection locked="0"/>
    </xf>
    <xf numFmtId="3" fontId="0" fillId="0" borderId="0" xfId="0" applyNumberFormat="1" applyFill="1" applyBorder="1" applyAlignment="1" applyProtection="1">
      <alignment horizontal="right"/>
    </xf>
    <xf numFmtId="0" fontId="4" fillId="0" borderId="0" xfId="0" applyFont="1" applyAlignment="1" applyProtection="1">
      <alignment horizontal="center" wrapText="1"/>
    </xf>
    <xf numFmtId="0" fontId="0" fillId="0" borderId="0" xfId="0"/>
    <xf numFmtId="0" fontId="4" fillId="0" borderId="1" xfId="0" applyFont="1" applyBorder="1" applyAlignment="1">
      <alignment horizontal="center"/>
    </xf>
    <xf numFmtId="0" fontId="4" fillId="0" borderId="0" xfId="0" applyFont="1" applyBorder="1" applyAlignment="1">
      <alignment horizontal="center"/>
    </xf>
    <xf numFmtId="0" fontId="0" fillId="0" borderId="0" xfId="0"/>
    <xf numFmtId="0" fontId="34" fillId="0" borderId="0" xfId="0" applyFont="1" applyProtection="1">
      <protection hidden="1"/>
    </xf>
    <xf numFmtId="165" fontId="35" fillId="0" borderId="0" xfId="0" applyNumberFormat="1" applyFont="1" applyBorder="1" applyProtection="1">
      <protection hidden="1"/>
    </xf>
    <xf numFmtId="0" fontId="34" fillId="0" borderId="0" xfId="0" applyFont="1" applyAlignment="1" applyProtection="1">
      <alignment horizontal="center" wrapText="1"/>
    </xf>
    <xf numFmtId="0" fontId="35" fillId="0" borderId="0" xfId="0" applyFont="1"/>
    <xf numFmtId="0" fontId="35" fillId="0" borderId="0" xfId="0" applyFont="1" applyAlignment="1">
      <alignment horizontal="right"/>
    </xf>
    <xf numFmtId="0" fontId="0" fillId="0" borderId="0" xfId="0"/>
    <xf numFmtId="0" fontId="39" fillId="0" borderId="0" xfId="0" applyFont="1"/>
    <xf numFmtId="3" fontId="1" fillId="0" borderId="10" xfId="0" applyNumberFormat="1" applyFont="1" applyBorder="1" applyAlignment="1" applyProtection="1">
      <alignment horizontal="right"/>
      <protection locked="0"/>
    </xf>
    <xf numFmtId="0" fontId="1" fillId="0" borderId="9" xfId="0" applyFont="1" applyBorder="1" applyProtection="1">
      <protection locked="0"/>
    </xf>
    <xf numFmtId="0" fontId="1" fillId="0" borderId="7" xfId="0" applyFont="1" applyBorder="1" applyProtection="1">
      <protection locked="0"/>
    </xf>
    <xf numFmtId="3" fontId="1" fillId="2" borderId="6" xfId="0" applyNumberFormat="1" applyFont="1" applyFill="1" applyBorder="1" applyProtection="1"/>
    <xf numFmtId="3" fontId="1" fillId="2" borderId="10" xfId="0" applyNumberFormat="1" applyFont="1" applyFill="1" applyBorder="1" applyProtection="1"/>
    <xf numFmtId="3" fontId="1" fillId="2" borderId="13" xfId="0" applyNumberFormat="1" applyFont="1" applyFill="1" applyBorder="1" applyProtection="1"/>
    <xf numFmtId="0" fontId="1" fillId="0" borderId="10" xfId="0" applyFont="1" applyBorder="1" applyAlignment="1" applyProtection="1">
      <alignment horizontal="right"/>
      <protection locked="0"/>
    </xf>
    <xf numFmtId="0" fontId="35" fillId="0" borderId="0" xfId="0" applyFont="1" applyProtection="1"/>
    <xf numFmtId="0" fontId="1" fillId="0" borderId="0" xfId="3" applyProtection="1"/>
    <xf numFmtId="0" fontId="38" fillId="0" borderId="0" xfId="3" applyFont="1" applyProtection="1"/>
    <xf numFmtId="0" fontId="35" fillId="0" borderId="0" xfId="3" applyFont="1" applyProtection="1"/>
    <xf numFmtId="0" fontId="4" fillId="0" borderId="0" xfId="3" applyFont="1" applyAlignment="1" applyProtection="1">
      <alignment horizontal="right"/>
    </xf>
    <xf numFmtId="0" fontId="4" fillId="0" borderId="0" xfId="3" applyFont="1" applyProtection="1"/>
    <xf numFmtId="14" fontId="1" fillId="0" borderId="0" xfId="3" applyNumberFormat="1" applyProtection="1"/>
    <xf numFmtId="0" fontId="36" fillId="0" borderId="0" xfId="3" applyFont="1" applyProtection="1"/>
    <xf numFmtId="0" fontId="32" fillId="0" borderId="0" xfId="3" applyFont="1" applyAlignment="1" applyProtection="1">
      <alignment horizontal="left" vertical="top"/>
    </xf>
    <xf numFmtId="3" fontId="1" fillId="0" borderId="0" xfId="3" applyNumberFormat="1" applyProtection="1"/>
    <xf numFmtId="0" fontId="1" fillId="0" borderId="0" xfId="3" applyFill="1" applyProtection="1"/>
    <xf numFmtId="0" fontId="33" fillId="0" borderId="0" xfId="3" applyFont="1" applyFill="1" applyAlignment="1" applyProtection="1">
      <alignment horizontal="right" vertical="top"/>
    </xf>
    <xf numFmtId="0" fontId="1" fillId="0" borderId="0" xfId="3" applyFont="1" applyAlignment="1" applyProtection="1">
      <alignment horizontal="right"/>
    </xf>
    <xf numFmtId="0" fontId="1" fillId="0" borderId="76" xfId="3" applyBorder="1" applyProtection="1"/>
    <xf numFmtId="0" fontId="1" fillId="0" borderId="77" xfId="3" applyBorder="1" applyProtection="1"/>
    <xf numFmtId="3" fontId="35" fillId="0" borderId="0" xfId="3" applyNumberFormat="1" applyFont="1" applyProtection="1"/>
    <xf numFmtId="0" fontId="1" fillId="0" borderId="0" xfId="3" applyFont="1" applyFill="1" applyAlignment="1" applyProtection="1">
      <alignment horizontal="right"/>
    </xf>
    <xf numFmtId="0" fontId="4" fillId="0" borderId="0" xfId="3" applyFont="1" applyFill="1" applyProtection="1"/>
    <xf numFmtId="0" fontId="1" fillId="0" borderId="0" xfId="3" applyBorder="1" applyAlignment="1" applyProtection="1">
      <alignment horizontal="right"/>
    </xf>
    <xf numFmtId="3" fontId="1" fillId="0" borderId="2" xfId="3" applyNumberFormat="1" applyFill="1" applyBorder="1" applyProtection="1"/>
    <xf numFmtId="3" fontId="1" fillId="0" borderId="10" xfId="3" applyNumberFormat="1" applyFill="1" applyBorder="1" applyProtection="1"/>
    <xf numFmtId="3" fontId="1" fillId="0" borderId="15" xfId="3" applyNumberFormat="1" applyBorder="1" applyProtection="1"/>
    <xf numFmtId="0" fontId="1" fillId="0" borderId="0" xfId="3" applyAlignment="1" applyProtection="1">
      <alignment horizontal="right"/>
    </xf>
    <xf numFmtId="3" fontId="1" fillId="0" borderId="2" xfId="3" applyNumberFormat="1" applyBorder="1" applyProtection="1"/>
    <xf numFmtId="3" fontId="1" fillId="0" borderId="10" xfId="3" applyNumberFormat="1" applyBorder="1" applyProtection="1"/>
    <xf numFmtId="10" fontId="1" fillId="0" borderId="2" xfId="3" applyNumberFormat="1" applyBorder="1" applyProtection="1"/>
    <xf numFmtId="10" fontId="1" fillId="0" borderId="10" xfId="3" applyNumberFormat="1" applyBorder="1" applyProtection="1"/>
    <xf numFmtId="4" fontId="1" fillId="0" borderId="0" xfId="3" applyNumberFormat="1" applyProtection="1"/>
    <xf numFmtId="0" fontId="1" fillId="0" borderId="0" xfId="3" applyFill="1" applyAlignment="1" applyProtection="1">
      <alignment horizontal="right"/>
    </xf>
    <xf numFmtId="3" fontId="1" fillId="0" borderId="61" xfId="3" applyNumberFormat="1" applyFill="1" applyBorder="1" applyProtection="1"/>
    <xf numFmtId="3" fontId="1" fillId="0" borderId="13" xfId="3" applyNumberFormat="1" applyFill="1" applyBorder="1" applyProtection="1"/>
    <xf numFmtId="3" fontId="1" fillId="0" borderId="18" xfId="3" applyNumberFormat="1" applyBorder="1" applyProtection="1"/>
    <xf numFmtId="3" fontId="1" fillId="0" borderId="0" xfId="3" applyNumberFormat="1" applyBorder="1" applyProtection="1"/>
    <xf numFmtId="3" fontId="1" fillId="0" borderId="0" xfId="3" applyNumberFormat="1" applyFill="1" applyBorder="1" applyProtection="1"/>
    <xf numFmtId="3" fontId="1" fillId="0" borderId="76" xfId="3" applyNumberFormat="1" applyBorder="1" applyProtection="1"/>
    <xf numFmtId="3" fontId="1" fillId="0" borderId="79" xfId="3" applyNumberFormat="1" applyBorder="1" applyProtection="1"/>
    <xf numFmtId="3" fontId="1" fillId="0" borderId="77" xfId="3" applyNumberFormat="1" applyBorder="1" applyProtection="1"/>
    <xf numFmtId="0" fontId="31" fillId="0" borderId="0" xfId="3" applyFont="1" applyProtection="1"/>
    <xf numFmtId="0" fontId="29" fillId="0" borderId="0" xfId="3" applyFont="1" applyProtection="1"/>
    <xf numFmtId="0" fontId="29" fillId="0" borderId="102" xfId="3" applyFont="1" applyBorder="1" applyProtection="1"/>
    <xf numFmtId="0" fontId="29" fillId="0" borderId="36" xfId="3" applyFont="1" applyBorder="1" applyProtection="1"/>
    <xf numFmtId="0" fontId="29" fillId="0" borderId="37" xfId="3" applyFont="1" applyBorder="1" applyProtection="1"/>
    <xf numFmtId="0" fontId="29" fillId="0" borderId="0" xfId="3" applyFont="1" applyBorder="1" applyProtection="1"/>
    <xf numFmtId="0" fontId="29" fillId="0" borderId="26" xfId="3" applyFont="1" applyBorder="1" applyProtection="1"/>
    <xf numFmtId="0" fontId="29" fillId="0" borderId="45" xfId="3" applyFont="1" applyBorder="1" applyProtection="1"/>
    <xf numFmtId="0" fontId="29" fillId="0" borderId="25" xfId="3" applyFont="1" applyBorder="1" applyProtection="1"/>
    <xf numFmtId="0" fontId="29" fillId="0" borderId="35" xfId="3" applyFont="1" applyBorder="1" applyProtection="1"/>
    <xf numFmtId="0" fontId="3" fillId="0" borderId="9" xfId="0" applyFont="1" applyFill="1" applyBorder="1" applyAlignment="1">
      <alignment horizontal="left"/>
    </xf>
    <xf numFmtId="0" fontId="1" fillId="0" borderId="9" xfId="0" applyFont="1" applyFill="1" applyBorder="1" applyAlignment="1">
      <alignment horizontal="left"/>
    </xf>
    <xf numFmtId="0" fontId="1" fillId="0" borderId="9" xfId="0" applyFont="1" applyFill="1" applyBorder="1" applyAlignment="1"/>
    <xf numFmtId="0" fontId="3" fillId="0" borderId="9" xfId="0" applyFont="1" applyFill="1" applyBorder="1" applyAlignment="1"/>
    <xf numFmtId="0" fontId="3" fillId="0" borderId="7" xfId="0" applyFont="1" applyFill="1" applyBorder="1" applyAlignment="1">
      <alignment horizontal="left"/>
    </xf>
    <xf numFmtId="0" fontId="4" fillId="2" borderId="4" xfId="0" applyFont="1" applyFill="1" applyBorder="1" applyAlignment="1"/>
    <xf numFmtId="0" fontId="12" fillId="2" borderId="105" xfId="0" applyFont="1" applyFill="1" applyBorder="1" applyAlignment="1">
      <alignment horizontal="right"/>
    </xf>
    <xf numFmtId="0" fontId="12" fillId="2" borderId="79" xfId="0" applyFont="1" applyFill="1" applyBorder="1" applyAlignment="1">
      <alignment horizontal="right"/>
    </xf>
    <xf numFmtId="0" fontId="12" fillId="2" borderId="106" xfId="0" applyFont="1" applyFill="1" applyBorder="1" applyAlignment="1">
      <alignment horizontal="right"/>
    </xf>
    <xf numFmtId="0" fontId="12" fillId="2" borderId="4" xfId="0" applyFont="1" applyFill="1" applyBorder="1" applyAlignment="1">
      <alignment horizontal="right"/>
    </xf>
    <xf numFmtId="0" fontId="3" fillId="0" borderId="51" xfId="0" applyFont="1" applyFill="1" applyBorder="1" applyAlignment="1"/>
    <xf numFmtId="0" fontId="4" fillId="0" borderId="0" xfId="0" applyFont="1" applyBorder="1" applyAlignment="1">
      <alignment horizontal="center"/>
    </xf>
    <xf numFmtId="0" fontId="0" fillId="0" borderId="0" xfId="0"/>
    <xf numFmtId="165" fontId="0" fillId="0" borderId="35" xfId="0" applyNumberFormat="1" applyBorder="1"/>
    <xf numFmtId="165" fontId="0" fillId="0" borderId="8" xfId="0" applyNumberFormat="1" applyBorder="1"/>
    <xf numFmtId="165" fontId="0" fillId="0" borderId="45" xfId="0" applyNumberFormat="1" applyBorder="1"/>
    <xf numFmtId="165" fontId="0" fillId="0" borderId="7" xfId="0" applyNumberFormat="1" applyBorder="1"/>
    <xf numFmtId="165" fontId="0" fillId="0" borderId="27" xfId="0" applyNumberFormat="1" applyBorder="1"/>
    <xf numFmtId="165" fontId="0" fillId="0" borderId="9" xfId="0" applyNumberFormat="1" applyBorder="1"/>
    <xf numFmtId="165" fontId="0" fillId="0" borderId="36" xfId="0" applyNumberFormat="1" applyBorder="1"/>
    <xf numFmtId="165" fontId="0" fillId="0" borderId="22" xfId="0" applyNumberFormat="1" applyBorder="1"/>
    <xf numFmtId="165" fontId="0" fillId="0" borderId="103" xfId="0" applyNumberFormat="1" applyBorder="1"/>
    <xf numFmtId="165" fontId="0" fillId="0" borderId="51" xfId="0" applyNumberFormat="1" applyBorder="1"/>
    <xf numFmtId="165" fontId="4" fillId="2" borderId="105" xfId="0" applyNumberFormat="1" applyFont="1" applyFill="1" applyBorder="1" applyAlignment="1"/>
    <xf numFmtId="165" fontId="4" fillId="2" borderId="4" xfId="0" applyNumberFormat="1" applyFont="1" applyFill="1" applyBorder="1" applyAlignment="1"/>
    <xf numFmtId="3" fontId="1" fillId="0" borderId="20" xfId="0" applyNumberFormat="1" applyFont="1" applyBorder="1" applyAlignment="1" applyProtection="1">
      <protection locked="0"/>
    </xf>
    <xf numFmtId="3" fontId="1" fillId="0" borderId="16" xfId="0" applyNumberFormat="1" applyFont="1" applyBorder="1" applyAlignment="1" applyProtection="1">
      <protection locked="0"/>
    </xf>
    <xf numFmtId="3" fontId="1" fillId="0" borderId="15" xfId="0" applyNumberFormat="1" applyFont="1" applyBorder="1" applyAlignment="1" applyProtection="1">
      <protection locked="0"/>
    </xf>
    <xf numFmtId="3" fontId="1" fillId="0" borderId="16" xfId="0" applyNumberFormat="1" applyFont="1" applyFill="1" applyBorder="1" applyAlignment="1" applyProtection="1">
      <protection locked="0"/>
    </xf>
    <xf numFmtId="3" fontId="1" fillId="0" borderId="15" xfId="0" applyNumberFormat="1" applyFont="1" applyFill="1" applyBorder="1" applyAlignment="1" applyProtection="1">
      <protection locked="0"/>
    </xf>
    <xf numFmtId="3" fontId="1" fillId="0" borderId="35" xfId="0" applyNumberFormat="1" applyFont="1" applyBorder="1" applyAlignment="1" applyProtection="1">
      <protection locked="0"/>
    </xf>
    <xf numFmtId="0" fontId="30" fillId="0" borderId="103" xfId="3" applyFont="1" applyBorder="1" applyProtection="1"/>
    <xf numFmtId="0" fontId="29" fillId="0" borderId="37" xfId="3" applyFont="1" applyBorder="1" applyAlignment="1" applyProtection="1">
      <alignment horizontal="left" indent="2"/>
    </xf>
    <xf numFmtId="0" fontId="40" fillId="0" borderId="0" xfId="4" applyAlignment="1">
      <alignment horizontal="left" indent="2"/>
    </xf>
    <xf numFmtId="0" fontId="30" fillId="0" borderId="37" xfId="3" applyFont="1" applyBorder="1" applyAlignment="1" applyProtection="1">
      <alignment horizontal="left"/>
    </xf>
    <xf numFmtId="0" fontId="0" fillId="0" borderId="48" xfId="0" applyBorder="1" applyAlignment="1" applyProtection="1"/>
    <xf numFmtId="0" fontId="0" fillId="0" borderId="0" xfId="0"/>
    <xf numFmtId="165" fontId="4" fillId="2" borderId="24" xfId="0" applyNumberFormat="1" applyFont="1" applyFill="1" applyBorder="1" applyAlignment="1"/>
    <xf numFmtId="0" fontId="3" fillId="16" borderId="9" xfId="0" applyFont="1" applyFill="1" applyBorder="1" applyAlignment="1"/>
    <xf numFmtId="165" fontId="0" fillId="16" borderId="16" xfId="0" applyNumberFormat="1" applyFill="1" applyBorder="1"/>
    <xf numFmtId="165" fontId="0" fillId="16" borderId="10" xfId="0" applyNumberFormat="1" applyFill="1" applyBorder="1"/>
    <xf numFmtId="165" fontId="0" fillId="16" borderId="27" xfId="0" applyNumberFormat="1" applyFill="1" applyBorder="1"/>
    <xf numFmtId="165" fontId="0" fillId="16" borderId="9" xfId="0" applyNumberFormat="1" applyFill="1" applyBorder="1"/>
    <xf numFmtId="0" fontId="0" fillId="0" borderId="0" xfId="0"/>
    <xf numFmtId="0" fontId="0" fillId="0" borderId="0" xfId="0"/>
    <xf numFmtId="0" fontId="38" fillId="0" borderId="0" xfId="0" applyFont="1" applyBorder="1"/>
    <xf numFmtId="0" fontId="38" fillId="0" borderId="0" xfId="0" applyFont="1" applyAlignment="1"/>
    <xf numFmtId="0" fontId="38" fillId="0" borderId="0" xfId="0" applyFont="1"/>
    <xf numFmtId="0" fontId="1" fillId="0" borderId="0" xfId="3" applyFont="1" applyProtection="1"/>
    <xf numFmtId="0" fontId="1" fillId="0" borderId="0" xfId="3" applyFont="1"/>
    <xf numFmtId="0" fontId="35" fillId="0" borderId="0" xfId="3" applyFont="1"/>
    <xf numFmtId="0" fontId="4" fillId="0" borderId="0" xfId="0" applyFont="1" applyBorder="1" applyAlignment="1" applyProtection="1">
      <alignment horizontal="center" wrapText="1"/>
    </xf>
    <xf numFmtId="0" fontId="0" fillId="0" borderId="0" xfId="0"/>
    <xf numFmtId="0" fontId="0" fillId="0" borderId="0" xfId="0"/>
    <xf numFmtId="10" fontId="0" fillId="17"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1" fillId="0" borderId="10" xfId="0" applyFont="1" applyBorder="1" applyProtection="1">
      <protection locked="0"/>
    </xf>
    <xf numFmtId="0" fontId="0" fillId="0" borderId="0" xfId="0"/>
    <xf numFmtId="10" fontId="41" fillId="0" borderId="0" xfId="0" applyNumberFormat="1" applyFont="1" applyFill="1"/>
    <xf numFmtId="10" fontId="41" fillId="0" borderId="0" xfId="2" applyNumberFormat="1" applyFont="1" applyFill="1"/>
    <xf numFmtId="0" fontId="0" fillId="0" borderId="0" xfId="0"/>
    <xf numFmtId="3" fontId="6" fillId="2" borderId="53" xfId="0" applyNumberFormat="1" applyFont="1" applyFill="1" applyBorder="1" applyAlignment="1"/>
    <xf numFmtId="3" fontId="6" fillId="2" borderId="50" xfId="0" applyNumberFormat="1" applyFont="1" applyFill="1" applyBorder="1" applyAlignment="1"/>
    <xf numFmtId="3" fontId="6" fillId="2" borderId="58" xfId="0" applyNumberFormat="1" applyFont="1" applyFill="1" applyBorder="1" applyAlignment="1"/>
    <xf numFmtId="3" fontId="6" fillId="2" borderId="14" xfId="0" applyNumberFormat="1" applyFont="1" applyFill="1" applyBorder="1" applyAlignment="1"/>
    <xf numFmtId="3" fontId="6" fillId="2" borderId="5" xfId="0" applyNumberFormat="1" applyFont="1" applyFill="1" applyBorder="1" applyAlignment="1"/>
    <xf numFmtId="3" fontId="6" fillId="2" borderId="4" xfId="0" applyNumberFormat="1" applyFont="1" applyFill="1" applyBorder="1" applyAlignment="1"/>
    <xf numFmtId="3" fontId="6" fillId="2" borderId="9" xfId="0" applyNumberFormat="1" applyFont="1" applyFill="1" applyBorder="1" applyAlignment="1"/>
    <xf numFmtId="165" fontId="4" fillId="5" borderId="32" xfId="0" applyNumberFormat="1" applyFont="1" applyFill="1" applyBorder="1"/>
    <xf numFmtId="165" fontId="4" fillId="5" borderId="39" xfId="0" applyNumberFormat="1" applyFont="1" applyFill="1" applyBorder="1"/>
    <xf numFmtId="0" fontId="34" fillId="0" borderId="0" xfId="0" applyFont="1" applyAlignment="1">
      <alignment horizontal="center" wrapText="1"/>
    </xf>
    <xf numFmtId="0" fontId="35" fillId="18" borderId="10" xfId="0" applyFont="1" applyFill="1" applyBorder="1" applyAlignment="1" applyProtection="1">
      <alignment horizontal="right"/>
    </xf>
    <xf numFmtId="0" fontId="35" fillId="0" borderId="0" xfId="0" applyFont="1" applyFill="1" applyBorder="1" applyAlignment="1" applyProtection="1"/>
    <xf numFmtId="0" fontId="3" fillId="0" borderId="0" xfId="0" applyFont="1" applyBorder="1" applyAlignment="1" applyProtection="1">
      <alignment horizontal="right" vertical="top"/>
      <protection locked="0"/>
    </xf>
    <xf numFmtId="0" fontId="35" fillId="0" borderId="10" xfId="0" applyFont="1" applyFill="1" applyBorder="1" applyAlignment="1" applyProtection="1">
      <alignment horizontal="right"/>
    </xf>
    <xf numFmtId="0" fontId="34" fillId="0" borderId="0" xfId="0" applyFont="1" applyAlignment="1">
      <alignment horizontal="right"/>
    </xf>
    <xf numFmtId="0" fontId="42" fillId="0" borderId="27" xfId="0" applyFont="1" applyBorder="1" applyAlignment="1">
      <alignment horizontal="left" indent="2"/>
    </xf>
    <xf numFmtId="165" fontId="16" fillId="0" borderId="16" xfId="0" applyNumberFormat="1" applyFont="1" applyBorder="1" applyAlignment="1"/>
    <xf numFmtId="165" fontId="16" fillId="0" borderId="10" xfId="0" applyNumberFormat="1" applyFont="1" applyBorder="1" applyAlignment="1">
      <alignment horizontal="right"/>
    </xf>
    <xf numFmtId="0" fontId="42" fillId="0" borderId="16" xfId="0" applyFont="1" applyBorder="1" applyAlignment="1"/>
    <xf numFmtId="165" fontId="16" fillId="2" borderId="0" xfId="0" applyNumberFormat="1" applyFont="1" applyFill="1" applyBorder="1" applyAlignment="1">
      <alignment horizontal="left"/>
    </xf>
    <xf numFmtId="165" fontId="16" fillId="2" borderId="0" xfId="0" applyNumberFormat="1" applyFont="1" applyFill="1" applyBorder="1" applyAlignment="1">
      <alignment horizontal="right"/>
    </xf>
    <xf numFmtId="165" fontId="16" fillId="2" borderId="26" xfId="0" applyNumberFormat="1" applyFont="1" applyFill="1" applyBorder="1" applyAlignment="1">
      <alignment horizontal="right"/>
    </xf>
    <xf numFmtId="0" fontId="16" fillId="2" borderId="0" xfId="0" applyNumberFormat="1" applyFont="1" applyFill="1" applyBorder="1" applyAlignment="1">
      <alignment horizontal="left"/>
    </xf>
    <xf numFmtId="37" fontId="16" fillId="2" borderId="0" xfId="0" applyNumberFormat="1" applyFont="1" applyFill="1" applyBorder="1" applyAlignment="1">
      <alignment horizontal="right"/>
    </xf>
    <xf numFmtId="37" fontId="16" fillId="2" borderId="26" xfId="0" applyNumberFormat="1" applyFont="1" applyFill="1" applyBorder="1" applyAlignment="1">
      <alignment horizontal="right"/>
    </xf>
    <xf numFmtId="0" fontId="42" fillId="0" borderId="80" xfId="0" applyFont="1" applyBorder="1" applyAlignment="1">
      <alignment horizontal="left" indent="2"/>
    </xf>
    <xf numFmtId="0" fontId="42" fillId="0" borderId="34" xfId="0" applyFont="1" applyBorder="1" applyAlignment="1"/>
    <xf numFmtId="165" fontId="16" fillId="0" borderId="28" xfId="0" applyNumberFormat="1" applyFont="1" applyBorder="1" applyAlignment="1">
      <alignment horizontal="right"/>
    </xf>
    <xf numFmtId="165" fontId="15" fillId="0" borderId="40" xfId="0" applyNumberFormat="1" applyFont="1" applyBorder="1" applyAlignment="1">
      <alignment horizontal="right"/>
    </xf>
    <xf numFmtId="165" fontId="15" fillId="0" borderId="42" xfId="0" applyNumberFormat="1" applyFont="1" applyBorder="1" applyAlignment="1">
      <alignment horizontal="right"/>
    </xf>
    <xf numFmtId="165" fontId="15" fillId="0" borderId="27" xfId="0" applyNumberFormat="1" applyFont="1" applyBorder="1" applyAlignment="1">
      <alignment horizontal="right"/>
    </xf>
    <xf numFmtId="165" fontId="15" fillId="0" borderId="10" xfId="0" applyNumberFormat="1" applyFont="1" applyBorder="1" applyAlignment="1">
      <alignment horizontal="right"/>
    </xf>
    <xf numFmtId="165" fontId="15" fillId="0" borderId="28" xfId="0" applyNumberFormat="1" applyFont="1" applyBorder="1" applyAlignment="1">
      <alignment horizontal="right"/>
    </xf>
    <xf numFmtId="0" fontId="15" fillId="2" borderId="0" xfId="0" applyFont="1" applyFill="1" applyBorder="1" applyAlignment="1">
      <alignment horizontal="right"/>
    </xf>
    <xf numFmtId="0" fontId="15" fillId="2" borderId="25" xfId="0" applyFont="1" applyFill="1" applyBorder="1" applyAlignment="1">
      <alignment horizontal="right"/>
    </xf>
    <xf numFmtId="165" fontId="16" fillId="0" borderId="22" xfId="0" applyNumberFormat="1" applyFont="1" applyFill="1" applyBorder="1" applyAlignment="1">
      <alignment horizontal="right"/>
    </xf>
    <xf numFmtId="165" fontId="16" fillId="0" borderId="10" xfId="0" applyNumberFormat="1" applyFont="1" applyFill="1" applyBorder="1" applyAlignment="1">
      <alignment horizontal="right"/>
    </xf>
    <xf numFmtId="165" fontId="15" fillId="0" borderId="22" xfId="0" applyNumberFormat="1" applyFont="1" applyFill="1" applyBorder="1" applyAlignment="1">
      <alignment horizontal="right"/>
    </xf>
    <xf numFmtId="165" fontId="15" fillId="0" borderId="10" xfId="0" applyNumberFormat="1" applyFont="1" applyFill="1" applyBorder="1" applyAlignment="1">
      <alignment horizontal="right"/>
    </xf>
    <xf numFmtId="165" fontId="15" fillId="0" borderId="28" xfId="0" applyNumberFormat="1" applyFont="1" applyFill="1" applyBorder="1" applyAlignment="1">
      <alignment horizontal="right"/>
    </xf>
    <xf numFmtId="165" fontId="15" fillId="0" borderId="33" xfId="0" applyNumberFormat="1" applyFont="1" applyBorder="1" applyAlignment="1">
      <alignment horizontal="right"/>
    </xf>
    <xf numFmtId="165" fontId="15" fillId="0" borderId="34" xfId="0" applyNumberFormat="1" applyFont="1" applyBorder="1" applyAlignment="1">
      <alignment horizontal="right"/>
    </xf>
    <xf numFmtId="165" fontId="15" fillId="0" borderId="28" xfId="0" applyNumberFormat="1" applyFont="1" applyBorder="1"/>
    <xf numFmtId="165" fontId="15" fillId="0" borderId="10" xfId="0" applyNumberFormat="1" applyFont="1" applyBorder="1"/>
    <xf numFmtId="0" fontId="16" fillId="0" borderId="29" xfId="0" applyFont="1" applyBorder="1"/>
    <xf numFmtId="165" fontId="16" fillId="0" borderId="29" xfId="0" applyNumberFormat="1" applyFont="1" applyBorder="1"/>
    <xf numFmtId="164" fontId="16" fillId="2" borderId="25" xfId="0" applyNumberFormat="1" applyFont="1" applyFill="1" applyBorder="1" applyAlignment="1">
      <alignment horizontal="right"/>
    </xf>
    <xf numFmtId="10" fontId="16" fillId="2" borderId="25" xfId="0" applyNumberFormat="1" applyFont="1" applyFill="1" applyBorder="1" applyAlignment="1">
      <alignment horizontal="right" indent="1"/>
    </xf>
    <xf numFmtId="0" fontId="15" fillId="2" borderId="66" xfId="0" applyFont="1" applyFill="1" applyBorder="1" applyAlignment="1"/>
    <xf numFmtId="0" fontId="16" fillId="2" borderId="48" xfId="0" applyFont="1" applyFill="1" applyBorder="1" applyAlignment="1">
      <alignment horizontal="right"/>
    </xf>
    <xf numFmtId="10" fontId="16" fillId="2" borderId="10" xfId="0" applyNumberFormat="1" applyFont="1" applyFill="1" applyBorder="1" applyAlignment="1"/>
    <xf numFmtId="0" fontId="16" fillId="2" borderId="10" xfId="0" applyFont="1" applyFill="1" applyBorder="1" applyAlignment="1"/>
    <xf numFmtId="165" fontId="16" fillId="0" borderId="16" xfId="0" applyNumberFormat="1" applyFont="1" applyBorder="1"/>
    <xf numFmtId="165" fontId="16" fillId="0" borderId="10" xfId="0" applyNumberFormat="1" applyFont="1" applyBorder="1"/>
    <xf numFmtId="165" fontId="16" fillId="0" borderId="34" xfId="0" applyNumberFormat="1" applyFont="1" applyBorder="1"/>
    <xf numFmtId="165" fontId="16" fillId="0" borderId="28" xfId="0" applyNumberFormat="1" applyFont="1" applyBorder="1"/>
    <xf numFmtId="0" fontId="16" fillId="0" borderId="38" xfId="0" applyFont="1" applyBorder="1"/>
    <xf numFmtId="0" fontId="16" fillId="0" borderId="40" xfId="0" applyFont="1" applyBorder="1"/>
    <xf numFmtId="165" fontId="16" fillId="0" borderId="41" xfId="0" applyNumberFormat="1" applyFont="1" applyBorder="1"/>
    <xf numFmtId="165" fontId="16" fillId="0" borderId="42" xfId="0" applyNumberFormat="1" applyFont="1" applyBorder="1"/>
    <xf numFmtId="165" fontId="16" fillId="0" borderId="40" xfId="0" applyNumberFormat="1" applyFont="1" applyBorder="1"/>
    <xf numFmtId="165" fontId="16" fillId="0" borderId="44" xfId="1" applyNumberFormat="1" applyFont="1" applyBorder="1" applyAlignment="1">
      <alignment horizontal="right"/>
    </xf>
    <xf numFmtId="165" fontId="16" fillId="0" borderId="39" xfId="0" applyNumberFormat="1" applyFont="1" applyBorder="1" applyAlignment="1">
      <alignment horizontal="right"/>
    </xf>
    <xf numFmtId="0" fontId="16" fillId="0" borderId="37" xfId="0" applyFont="1" applyBorder="1"/>
    <xf numFmtId="165" fontId="16" fillId="0" borderId="35" xfId="0" applyNumberFormat="1" applyFont="1" applyBorder="1"/>
    <xf numFmtId="165" fontId="16" fillId="0" borderId="39" xfId="0" applyNumberFormat="1" applyFont="1" applyBorder="1"/>
    <xf numFmtId="0" fontId="42" fillId="0" borderId="40" xfId="0" applyFont="1" applyFill="1" applyBorder="1" applyAlignment="1"/>
    <xf numFmtId="0" fontId="42" fillId="0" borderId="26" xfId="0" applyFont="1" applyFill="1" applyBorder="1" applyAlignment="1"/>
    <xf numFmtId="165" fontId="16" fillId="0" borderId="42" xfId="0" applyNumberFormat="1" applyFont="1" applyFill="1" applyBorder="1"/>
    <xf numFmtId="0" fontId="16" fillId="0" borderId="0" xfId="0" applyFont="1"/>
    <xf numFmtId="0" fontId="15" fillId="0" borderId="0" xfId="0" applyFont="1" applyAlignment="1"/>
    <xf numFmtId="0" fontId="15" fillId="0" borderId="0" xfId="0" applyFont="1"/>
    <xf numFmtId="0" fontId="15" fillId="0" borderId="0" xfId="0" applyFont="1" applyAlignment="1">
      <alignment horizontal="right"/>
    </xf>
    <xf numFmtId="14" fontId="16" fillId="0" borderId="0" xfId="0" applyNumberFormat="1" applyFont="1"/>
    <xf numFmtId="10" fontId="16" fillId="0" borderId="0" xfId="0" applyNumberFormat="1" applyFont="1"/>
    <xf numFmtId="3" fontId="16" fillId="0" borderId="0" xfId="0" applyNumberFormat="1" applyFont="1"/>
    <xf numFmtId="0" fontId="16" fillId="0" borderId="0" xfId="0" applyFont="1" applyAlignment="1">
      <alignment vertical="top" wrapText="1" readingOrder="1"/>
    </xf>
    <xf numFmtId="0" fontId="19" fillId="0" borderId="0" xfId="0" applyFont="1" applyAlignment="1">
      <alignment horizontal="center" wrapText="1" readingOrder="1"/>
    </xf>
    <xf numFmtId="0" fontId="16" fillId="0" borderId="0" xfId="0" applyFont="1" applyAlignment="1">
      <alignment horizontal="center" wrapText="1" readingOrder="1"/>
    </xf>
    <xf numFmtId="0" fontId="19" fillId="0" borderId="0" xfId="0" applyFont="1" applyAlignment="1">
      <alignment wrapText="1" readingOrder="1"/>
    </xf>
    <xf numFmtId="0" fontId="16" fillId="10" borderId="0" xfId="0" applyFont="1" applyFill="1" applyAlignment="1">
      <alignment wrapText="1" readingOrder="1"/>
    </xf>
    <xf numFmtId="0" fontId="16" fillId="0" borderId="0" xfId="0" applyFont="1" applyAlignment="1">
      <alignment wrapText="1" readingOrder="1"/>
    </xf>
    <xf numFmtId="0" fontId="16" fillId="2" borderId="0" xfId="0" applyFont="1" applyFill="1" applyAlignment="1">
      <alignment wrapText="1" readingOrder="1"/>
    </xf>
    <xf numFmtId="0" fontId="16" fillId="6" borderId="0" xfId="0" applyFont="1" applyFill="1" applyAlignment="1">
      <alignment wrapText="1" readingOrder="1"/>
    </xf>
    <xf numFmtId="0" fontId="0" fillId="0" borderId="0" xfId="0" applyAlignment="1">
      <alignment horizontal="left" wrapText="1" readingOrder="1"/>
    </xf>
    <xf numFmtId="0" fontId="0" fillId="0" borderId="0" xfId="0" applyAlignment="1">
      <alignment wrapText="1" readingOrder="1"/>
    </xf>
    <xf numFmtId="0" fontId="4" fillId="0" borderId="0" xfId="0" applyFont="1" applyAlignment="1" applyProtection="1">
      <alignment horizontal="left"/>
    </xf>
    <xf numFmtId="0" fontId="0" fillId="8" borderId="55" xfId="0" applyFill="1" applyBorder="1" applyAlignment="1" applyProtection="1">
      <alignment wrapText="1"/>
    </xf>
    <xf numFmtId="0" fontId="0" fillId="0" borderId="11" xfId="0" applyBorder="1"/>
    <xf numFmtId="0" fontId="0" fillId="0" borderId="46" xfId="0" applyBorder="1"/>
    <xf numFmtId="0" fontId="0" fillId="0" borderId="63" xfId="0" applyBorder="1"/>
    <xf numFmtId="0" fontId="0" fillId="0" borderId="0" xfId="0"/>
    <xf numFmtId="0" fontId="0" fillId="0" borderId="14" xfId="0" applyBorder="1"/>
    <xf numFmtId="0" fontId="0" fillId="0" borderId="64" xfId="0" applyBorder="1"/>
    <xf numFmtId="0" fontId="0" fillId="0" borderId="1" xfId="0" applyBorder="1"/>
    <xf numFmtId="0" fontId="0" fillId="0" borderId="54" xfId="0" applyBorder="1"/>
    <xf numFmtId="0" fontId="21" fillId="8" borderId="55" xfId="0" applyFont="1" applyFill="1" applyBorder="1" applyAlignment="1" applyProtection="1">
      <alignment horizontal="center" vertical="top"/>
    </xf>
    <xf numFmtId="0" fontId="21" fillId="8" borderId="11" xfId="0" applyFont="1" applyFill="1" applyBorder="1" applyAlignment="1" applyProtection="1">
      <alignment horizontal="center" vertical="top"/>
    </xf>
    <xf numFmtId="0" fontId="21" fillId="8" borderId="46" xfId="0" applyFont="1" applyFill="1" applyBorder="1" applyAlignment="1" applyProtection="1">
      <alignment horizontal="center" vertical="top"/>
    </xf>
    <xf numFmtId="0" fontId="21" fillId="8" borderId="64" xfId="0" applyFont="1" applyFill="1" applyBorder="1" applyAlignment="1" applyProtection="1">
      <alignment horizontal="center" vertical="top"/>
    </xf>
    <xf numFmtId="0" fontId="21" fillId="8" borderId="1" xfId="0" applyFont="1" applyFill="1" applyBorder="1" applyAlignment="1" applyProtection="1">
      <alignment horizontal="center" vertical="top"/>
    </xf>
    <xf numFmtId="0" fontId="21" fillId="8" borderId="54" xfId="0" applyFont="1" applyFill="1" applyBorder="1" applyAlignment="1" applyProtection="1">
      <alignment horizontal="center" vertical="top"/>
    </xf>
    <xf numFmtId="0" fontId="2" fillId="0" borderId="0" xfId="0" applyFont="1" applyAlignment="1" applyProtection="1">
      <alignment horizontal="center"/>
    </xf>
    <xf numFmtId="0" fontId="4" fillId="0" borderId="0" xfId="0" applyFont="1" applyAlignment="1" applyProtection="1"/>
    <xf numFmtId="0" fontId="4" fillId="0" borderId="11" xfId="0" applyFont="1" applyBorder="1" applyAlignment="1"/>
    <xf numFmtId="0" fontId="4" fillId="0" borderId="0" xfId="0" applyFont="1" applyAlignment="1" applyProtection="1">
      <alignment horizontal="center" vertical="center"/>
    </xf>
    <xf numFmtId="0" fontId="34" fillId="0" borderId="0" xfId="0" applyFont="1" applyAlignment="1" applyProtection="1">
      <alignment horizontal="right"/>
    </xf>
    <xf numFmtId="0" fontId="34" fillId="0" borderId="0" xfId="0" applyFont="1" applyBorder="1" applyAlignment="1" applyProtection="1">
      <alignment horizontal="right"/>
    </xf>
    <xf numFmtId="0" fontId="4" fillId="0" borderId="0" xfId="0" applyFont="1" applyAlignment="1" applyProtection="1">
      <alignment horizontal="right" vertical="top"/>
    </xf>
    <xf numFmtId="0" fontId="4" fillId="0" borderId="0" xfId="0" applyFont="1" applyBorder="1" applyAlignment="1" applyProtection="1">
      <alignment horizontal="right" vertical="top"/>
    </xf>
    <xf numFmtId="0" fontId="4" fillId="0" borderId="63" xfId="0" applyFont="1" applyBorder="1" applyAlignment="1"/>
    <xf numFmtId="0" fontId="4" fillId="0" borderId="0" xfId="0" applyFont="1" applyBorder="1" applyAlignment="1"/>
    <xf numFmtId="0" fontId="4" fillId="0" borderId="0" xfId="0" applyFont="1" applyBorder="1" applyAlignment="1">
      <alignment horizontal="right"/>
    </xf>
    <xf numFmtId="0" fontId="4" fillId="0" borderId="14" xfId="0" applyFont="1" applyBorder="1" applyAlignment="1">
      <alignment horizontal="right"/>
    </xf>
    <xf numFmtId="0" fontId="4" fillId="0" borderId="11" xfId="0" applyFont="1" applyBorder="1" applyAlignment="1">
      <alignment horizontal="right"/>
    </xf>
    <xf numFmtId="0" fontId="4" fillId="0" borderId="46" xfId="0" applyFont="1" applyBorder="1" applyAlignment="1">
      <alignment horizontal="right"/>
    </xf>
    <xf numFmtId="0" fontId="4" fillId="0" borderId="0" xfId="0" applyFont="1" applyAlignment="1"/>
    <xf numFmtId="0" fontId="0" fillId="0" borderId="0" xfId="0" applyAlignment="1"/>
    <xf numFmtId="0" fontId="0" fillId="0" borderId="70" xfId="0" applyBorder="1" applyAlignment="1" applyProtection="1"/>
    <xf numFmtId="0" fontId="0" fillId="0" borderId="65" xfId="0" applyBorder="1" applyAlignment="1" applyProtection="1"/>
    <xf numFmtId="0" fontId="0" fillId="0" borderId="20" xfId="0" applyBorder="1" applyAlignment="1" applyProtection="1"/>
    <xf numFmtId="0" fontId="0" fillId="0" borderId="66" xfId="0" applyBorder="1" applyAlignment="1" applyProtection="1"/>
    <xf numFmtId="0" fontId="0" fillId="0" borderId="48" xfId="0" applyBorder="1" applyAlignment="1" applyProtection="1"/>
    <xf numFmtId="0" fontId="0" fillId="0" borderId="16" xfId="0" applyBorder="1" applyAlignment="1" applyProtection="1"/>
    <xf numFmtId="0" fontId="0" fillId="0" borderId="16" xfId="0" applyBorder="1" applyAlignment="1" applyProtection="1">
      <alignment horizontal="right"/>
    </xf>
    <xf numFmtId="0" fontId="1" fillId="0" borderId="66" xfId="0" applyFont="1" applyBorder="1" applyAlignment="1" applyProtection="1"/>
    <xf numFmtId="0" fontId="0" fillId="0" borderId="0" xfId="0" applyBorder="1" applyAlignment="1">
      <alignment horizontal="right"/>
    </xf>
    <xf numFmtId="0" fontId="0" fillId="0" borderId="14" xfId="0" applyBorder="1" applyAlignment="1">
      <alignment horizontal="right"/>
    </xf>
    <xf numFmtId="0" fontId="1" fillId="0" borderId="2" xfId="0" applyFont="1" applyBorder="1" applyAlignment="1" applyProtection="1"/>
    <xf numFmtId="0" fontId="0" fillId="0" borderId="10" xfId="0" applyBorder="1" applyAlignment="1" applyProtection="1"/>
    <xf numFmtId="0" fontId="0" fillId="0" borderId="2" xfId="0" applyBorder="1" applyAlignment="1" applyProtection="1"/>
    <xf numFmtId="0" fontId="0" fillId="0" borderId="61" xfId="0" applyBorder="1" applyAlignment="1" applyProtection="1"/>
    <xf numFmtId="0" fontId="0" fillId="0" borderId="13" xfId="0" applyBorder="1" applyAlignment="1" applyProtection="1"/>
    <xf numFmtId="0" fontId="0" fillId="0" borderId="2" xfId="0" applyNumberFormat="1" applyBorder="1" applyAlignment="1" applyProtection="1">
      <protection locked="0"/>
    </xf>
    <xf numFmtId="0" fontId="0" fillId="0" borderId="15" xfId="0" applyNumberFormat="1" applyBorder="1" applyAlignment="1" applyProtection="1">
      <protection locked="0"/>
    </xf>
    <xf numFmtId="0" fontId="4" fillId="0" borderId="0" xfId="0" applyFont="1" applyAlignment="1" applyProtection="1">
      <alignment horizontal="center" wrapText="1"/>
    </xf>
    <xf numFmtId="0" fontId="0" fillId="0" borderId="70" xfId="0" applyNumberFormat="1" applyBorder="1" applyAlignment="1" applyProtection="1">
      <protection locked="0"/>
    </xf>
    <xf numFmtId="0" fontId="0" fillId="0" borderId="104" xfId="0" applyNumberFormat="1" applyBorder="1" applyAlignment="1" applyProtection="1">
      <protection locked="0"/>
    </xf>
    <xf numFmtId="0" fontId="0" fillId="0" borderId="12" xfId="0" applyNumberFormat="1" applyBorder="1" applyAlignment="1" applyProtection="1">
      <protection locked="0"/>
    </xf>
    <xf numFmtId="0" fontId="0" fillId="0" borderId="17" xfId="0" applyNumberFormat="1" applyBorder="1" applyAlignment="1" applyProtection="1">
      <protection locked="0"/>
    </xf>
    <xf numFmtId="0" fontId="4" fillId="0" borderId="0" xfId="0" applyFont="1" applyAlignment="1" applyProtection="1">
      <alignment wrapText="1"/>
    </xf>
    <xf numFmtId="0" fontId="0" fillId="0" borderId="67" xfId="0" applyBorder="1" applyAlignment="1"/>
    <xf numFmtId="0" fontId="0" fillId="0" borderId="68" xfId="0" applyBorder="1" applyAlignment="1"/>
    <xf numFmtId="0" fontId="0" fillId="0" borderId="66" xfId="0" applyBorder="1" applyAlignment="1"/>
    <xf numFmtId="0" fontId="0" fillId="0" borderId="47" xfId="0" applyBorder="1" applyAlignment="1"/>
    <xf numFmtId="0" fontId="4" fillId="0" borderId="0" xfId="0" applyFont="1" applyAlignment="1" applyProtection="1">
      <alignment vertical="center"/>
    </xf>
    <xf numFmtId="0" fontId="0" fillId="0" borderId="2" xfId="0" applyBorder="1" applyAlignment="1" applyProtection="1">
      <protection locked="0"/>
    </xf>
    <xf numFmtId="0" fontId="0" fillId="0" borderId="15" xfId="0" applyBorder="1" applyAlignment="1" applyProtection="1">
      <protection locked="0"/>
    </xf>
    <xf numFmtId="0" fontId="0" fillId="0" borderId="12" xfId="0" applyBorder="1" applyAlignment="1" applyProtection="1">
      <protection locked="0"/>
    </xf>
    <xf numFmtId="0" fontId="0" fillId="0" borderId="17" xfId="0" applyBorder="1" applyAlignment="1" applyProtection="1">
      <protection locked="0"/>
    </xf>
    <xf numFmtId="0" fontId="0" fillId="8" borderId="11" xfId="0" applyFill="1" applyBorder="1" applyAlignment="1" applyProtection="1">
      <alignment wrapText="1"/>
    </xf>
    <xf numFmtId="0" fontId="0" fillId="8" borderId="46" xfId="0" applyFill="1" applyBorder="1" applyAlignment="1" applyProtection="1">
      <alignment wrapText="1"/>
    </xf>
    <xf numFmtId="0" fontId="0" fillId="8" borderId="63" xfId="0" applyFill="1" applyBorder="1" applyAlignment="1" applyProtection="1">
      <alignment wrapText="1"/>
    </xf>
    <xf numFmtId="0" fontId="0" fillId="8" borderId="0" xfId="0" applyFill="1" applyBorder="1" applyAlignment="1" applyProtection="1">
      <alignment wrapText="1"/>
    </xf>
    <xf numFmtId="0" fontId="0" fillId="8" borderId="14" xfId="0" applyFill="1" applyBorder="1" applyAlignment="1" applyProtection="1">
      <alignment wrapText="1"/>
    </xf>
    <xf numFmtId="0" fontId="0" fillId="8" borderId="64" xfId="0" applyFill="1" applyBorder="1" applyAlignment="1" applyProtection="1">
      <alignment wrapText="1"/>
    </xf>
    <xf numFmtId="0" fontId="0" fillId="8" borderId="1" xfId="0" applyFill="1" applyBorder="1" applyAlignment="1" applyProtection="1">
      <alignment wrapText="1"/>
    </xf>
    <xf numFmtId="0" fontId="0" fillId="8" borderId="54" xfId="0" applyFill="1" applyBorder="1" applyAlignment="1" applyProtection="1">
      <alignment wrapText="1"/>
    </xf>
    <xf numFmtId="0" fontId="1" fillId="0" borderId="48" xfId="0" applyFont="1" applyBorder="1" applyAlignment="1" applyProtection="1"/>
    <xf numFmtId="0" fontId="4" fillId="0" borderId="55" xfId="0" applyFont="1" applyBorder="1" applyAlignment="1"/>
    <xf numFmtId="0" fontId="0" fillId="0" borderId="11" xfId="0" applyBorder="1" applyAlignment="1">
      <alignment horizontal="right"/>
    </xf>
    <xf numFmtId="0" fontId="0" fillId="0" borderId="46" xfId="0" applyBorder="1" applyAlignment="1">
      <alignment horizontal="right"/>
    </xf>
    <xf numFmtId="3" fontId="0" fillId="2" borderId="23" xfId="0" applyNumberFormat="1" applyFill="1" applyBorder="1" applyAlignment="1">
      <alignment horizontal="right"/>
    </xf>
    <xf numFmtId="3" fontId="0" fillId="2" borderId="19" xfId="0" applyNumberFormat="1" applyFill="1" applyBorder="1" applyAlignment="1">
      <alignment horizontal="right"/>
    </xf>
    <xf numFmtId="0" fontId="1" fillId="0" borderId="66" xfId="0" applyFont="1" applyBorder="1" applyAlignment="1" applyProtection="1">
      <protection locked="0"/>
    </xf>
    <xf numFmtId="0" fontId="1" fillId="0" borderId="48" xfId="0" applyFont="1" applyBorder="1" applyAlignment="1" applyProtection="1">
      <protection locked="0"/>
    </xf>
    <xf numFmtId="0" fontId="1" fillId="0" borderId="47" xfId="0" applyFont="1" applyBorder="1" applyAlignment="1" applyProtection="1">
      <protection locked="0"/>
    </xf>
    <xf numFmtId="0" fontId="0" fillId="0" borderId="78" xfId="0" applyBorder="1" applyAlignment="1" applyProtection="1">
      <protection locked="0"/>
    </xf>
    <xf numFmtId="0" fontId="0" fillId="0" borderId="25" xfId="0" applyBorder="1" applyAlignment="1" applyProtection="1">
      <protection locked="0"/>
    </xf>
    <xf numFmtId="3" fontId="0" fillId="0" borderId="2" xfId="0" applyNumberFormat="1" applyBorder="1" applyAlignment="1" applyProtection="1">
      <alignment horizontal="right"/>
      <protection locked="0"/>
    </xf>
    <xf numFmtId="3" fontId="0" fillId="0" borderId="15" xfId="0" applyNumberFormat="1" applyBorder="1" applyAlignment="1" applyProtection="1">
      <alignment horizontal="right"/>
      <protection locked="0"/>
    </xf>
    <xf numFmtId="0" fontId="0" fillId="0" borderId="48" xfId="0" applyBorder="1" applyAlignment="1" applyProtection="1">
      <alignment horizontal="right"/>
    </xf>
    <xf numFmtId="165" fontId="0" fillId="0" borderId="48" xfId="0" applyNumberFormat="1" applyFill="1" applyBorder="1" applyAlignment="1" applyProtection="1">
      <alignment horizontal="center"/>
      <protection locked="0"/>
    </xf>
    <xf numFmtId="165" fontId="0" fillId="0" borderId="47" xfId="0" applyNumberFormat="1" applyFill="1" applyBorder="1" applyAlignment="1" applyProtection="1">
      <alignment horizontal="center"/>
      <protection locked="0"/>
    </xf>
    <xf numFmtId="3" fontId="0" fillId="3" borderId="2" xfId="0" applyNumberFormat="1" applyFill="1" applyBorder="1" applyAlignment="1"/>
    <xf numFmtId="3" fontId="0" fillId="3" borderId="15" xfId="0" applyNumberFormat="1" applyFill="1" applyBorder="1" applyAlignment="1"/>
    <xf numFmtId="3" fontId="0" fillId="3" borderId="71" xfId="0" applyNumberFormat="1" applyFill="1" applyBorder="1" applyAlignment="1"/>
    <xf numFmtId="3" fontId="0" fillId="3" borderId="58" xfId="0" applyNumberFormat="1" applyFill="1" applyBorder="1" applyAlignment="1"/>
    <xf numFmtId="0" fontId="4" fillId="0" borderId="0" xfId="0" applyFont="1" applyBorder="1" applyAlignment="1">
      <alignment horizontal="center"/>
    </xf>
    <xf numFmtId="3" fontId="1" fillId="15" borderId="66" xfId="0" applyNumberFormat="1" applyFont="1" applyFill="1" applyBorder="1" applyAlignment="1">
      <alignment horizontal="right"/>
    </xf>
    <xf numFmtId="3" fontId="1" fillId="15" borderId="14" xfId="0" applyNumberFormat="1" applyFont="1" applyFill="1" applyBorder="1" applyAlignment="1">
      <alignment horizontal="right"/>
    </xf>
    <xf numFmtId="3" fontId="0" fillId="15" borderId="66" xfId="0" applyNumberFormat="1" applyFill="1" applyBorder="1" applyAlignment="1">
      <alignment horizontal="right"/>
    </xf>
    <xf numFmtId="3" fontId="0" fillId="15" borderId="47" xfId="0" applyNumberFormat="1" applyFill="1" applyBorder="1" applyAlignment="1">
      <alignment horizontal="right"/>
    </xf>
    <xf numFmtId="3" fontId="0" fillId="15" borderId="14" xfId="0" applyNumberFormat="1" applyFill="1" applyBorder="1" applyAlignment="1">
      <alignment horizontal="right"/>
    </xf>
    <xf numFmtId="3" fontId="0" fillId="2" borderId="60" xfId="0" applyNumberFormat="1" applyFill="1" applyBorder="1" applyAlignment="1" applyProtection="1"/>
    <xf numFmtId="3" fontId="0" fillId="2" borderId="59" xfId="0" applyNumberFormat="1" applyFill="1" applyBorder="1" applyAlignment="1" applyProtection="1"/>
    <xf numFmtId="3" fontId="3" fillId="2" borderId="60" xfId="0" applyNumberFormat="1" applyFont="1" applyFill="1" applyBorder="1" applyAlignment="1"/>
    <xf numFmtId="3" fontId="3" fillId="2" borderId="59" xfId="0" applyNumberFormat="1" applyFont="1" applyFill="1" applyBorder="1" applyAlignment="1"/>
    <xf numFmtId="3" fontId="0" fillId="3" borderId="56" xfId="0" applyNumberFormat="1" applyFill="1" applyBorder="1" applyAlignment="1"/>
    <xf numFmtId="3" fontId="0" fillId="2" borderId="66" xfId="0" applyNumberFormat="1" applyFill="1" applyBorder="1" applyAlignment="1"/>
    <xf numFmtId="3" fontId="0" fillId="2" borderId="47" xfId="0" applyNumberFormat="1" applyFill="1" applyBorder="1" applyAlignment="1"/>
    <xf numFmtId="3" fontId="0" fillId="2" borderId="2" xfId="0" applyNumberFormat="1" applyFill="1" applyBorder="1" applyAlignment="1">
      <alignment horizontal="right"/>
    </xf>
    <xf numFmtId="3" fontId="0" fillId="2" borderId="15" xfId="0" applyNumberFormat="1" applyFill="1" applyBorder="1" applyAlignment="1">
      <alignment horizontal="right"/>
    </xf>
    <xf numFmtId="0" fontId="0" fillId="0" borderId="66" xfId="0" applyBorder="1" applyAlignment="1" applyProtection="1">
      <protection locked="0"/>
    </xf>
    <xf numFmtId="0" fontId="0" fillId="0" borderId="48" xfId="0" applyBorder="1" applyAlignment="1" applyProtection="1">
      <protection locked="0"/>
    </xf>
    <xf numFmtId="3" fontId="6" fillId="2" borderId="67" xfId="0" applyNumberFormat="1" applyFont="1" applyFill="1" applyBorder="1" applyAlignment="1">
      <alignment horizontal="right"/>
    </xf>
    <xf numFmtId="3" fontId="6" fillId="2" borderId="68" xfId="0" applyNumberFormat="1" applyFont="1" applyFill="1" applyBorder="1" applyAlignment="1">
      <alignment horizontal="right"/>
    </xf>
    <xf numFmtId="3" fontId="0" fillId="2" borderId="67" xfId="0" applyNumberFormat="1" applyFill="1" applyBorder="1" applyAlignment="1">
      <alignment horizontal="right"/>
    </xf>
    <xf numFmtId="3" fontId="0" fillId="2" borderId="68" xfId="0" applyNumberFormat="1" applyFill="1" applyBorder="1" applyAlignment="1">
      <alignment horizontal="right"/>
    </xf>
    <xf numFmtId="0" fontId="6" fillId="2" borderId="67" xfId="0" applyFont="1" applyFill="1" applyBorder="1" applyAlignment="1">
      <alignment horizontal="right"/>
    </xf>
    <xf numFmtId="0" fontId="6" fillId="2" borderId="101" xfId="0" applyFont="1" applyFill="1" applyBorder="1" applyAlignment="1">
      <alignment horizontal="right"/>
    </xf>
    <xf numFmtId="3" fontId="0" fillId="2" borderId="66" xfId="0" applyNumberFormat="1" applyFill="1" applyBorder="1" applyAlignment="1">
      <alignment horizontal="right"/>
    </xf>
    <xf numFmtId="3" fontId="0" fillId="2" borderId="107" xfId="0" applyNumberFormat="1" applyFill="1" applyBorder="1" applyAlignment="1">
      <alignment horizontal="right"/>
    </xf>
    <xf numFmtId="3" fontId="0" fillId="2" borderId="47" xfId="0" applyNumberFormat="1" applyFill="1" applyBorder="1" applyAlignment="1">
      <alignment horizontal="right"/>
    </xf>
    <xf numFmtId="3" fontId="1" fillId="2" borderId="66" xfId="0" applyNumberFormat="1" applyFont="1" applyFill="1" applyBorder="1" applyAlignment="1">
      <alignment horizontal="right"/>
    </xf>
    <xf numFmtId="3" fontId="1" fillId="2" borderId="47" xfId="0" applyNumberFormat="1" applyFont="1" applyFill="1" applyBorder="1" applyAlignment="1">
      <alignment horizontal="right"/>
    </xf>
    <xf numFmtId="0" fontId="4" fillId="0" borderId="0" xfId="0" applyFont="1" applyAlignment="1">
      <alignment horizontal="right"/>
    </xf>
    <xf numFmtId="0" fontId="0" fillId="2" borderId="59" xfId="0" applyFill="1" applyBorder="1" applyAlignment="1" applyProtection="1"/>
    <xf numFmtId="3" fontId="0" fillId="2" borderId="61" xfId="0" applyNumberFormat="1" applyFill="1" applyBorder="1" applyAlignment="1">
      <alignment horizontal="right"/>
    </xf>
    <xf numFmtId="3" fontId="0" fillId="2" borderId="18" xfId="0" applyNumberFormat="1" applyFill="1" applyBorder="1" applyAlignment="1">
      <alignment horizontal="right"/>
    </xf>
    <xf numFmtId="0" fontId="3" fillId="0" borderId="66" xfId="0" applyFont="1" applyBorder="1" applyAlignment="1" applyProtection="1"/>
    <xf numFmtId="3" fontId="0" fillId="2" borderId="60" xfId="0" applyNumberFormat="1" applyFill="1" applyBorder="1" applyAlignment="1"/>
    <xf numFmtId="3" fontId="0" fillId="2" borderId="59" xfId="0" applyNumberFormat="1" applyFill="1" applyBorder="1" applyAlignment="1"/>
    <xf numFmtId="3" fontId="0" fillId="2" borderId="12" xfId="0" applyNumberFormat="1" applyFill="1" applyBorder="1" applyAlignment="1">
      <alignment horizontal="right"/>
    </xf>
    <xf numFmtId="3" fontId="0" fillId="2" borderId="17" xfId="0" applyNumberFormat="1" applyFill="1" applyBorder="1" applyAlignment="1">
      <alignment horizontal="right"/>
    </xf>
    <xf numFmtId="3" fontId="0" fillId="3" borderId="12" xfId="0" applyNumberFormat="1" applyFill="1" applyBorder="1" applyAlignment="1"/>
    <xf numFmtId="3" fontId="0" fillId="3" borderId="17" xfId="0" applyNumberFormat="1" applyFill="1" applyBorder="1" applyAlignment="1"/>
    <xf numFmtId="3" fontId="0" fillId="2" borderId="56" xfId="0" applyNumberFormat="1" applyFill="1" applyBorder="1" applyAlignment="1"/>
    <xf numFmtId="3" fontId="0" fillId="2" borderId="58" xfId="0" applyNumberFormat="1" applyFill="1" applyBorder="1" applyAlignment="1"/>
    <xf numFmtId="3" fontId="0" fillId="2" borderId="2" xfId="0" applyNumberFormat="1" applyFill="1" applyBorder="1" applyAlignment="1" applyProtection="1">
      <alignment horizontal="right"/>
    </xf>
    <xf numFmtId="3" fontId="0" fillId="2" borderId="15" xfId="0" applyNumberFormat="1" applyFill="1" applyBorder="1" applyAlignment="1" applyProtection="1">
      <alignment horizontal="right"/>
    </xf>
    <xf numFmtId="3" fontId="0" fillId="2" borderId="6" xfId="0" applyNumberFormat="1" applyFill="1" applyBorder="1" applyAlignment="1"/>
    <xf numFmtId="3" fontId="0" fillId="2" borderId="17" xfId="0" applyNumberFormat="1" applyFill="1" applyBorder="1" applyAlignment="1"/>
    <xf numFmtId="3" fontId="0" fillId="2" borderId="20" xfId="0" applyNumberFormat="1" applyFill="1" applyBorder="1" applyAlignment="1"/>
    <xf numFmtId="3" fontId="0" fillId="2" borderId="69" xfId="0" applyNumberFormat="1" applyFill="1" applyBorder="1" applyAlignment="1"/>
    <xf numFmtId="3" fontId="0" fillId="2" borderId="27" xfId="0" applyNumberFormat="1" applyFill="1" applyBorder="1" applyAlignment="1"/>
    <xf numFmtId="3" fontId="0" fillId="3" borderId="16" xfId="0" applyNumberFormat="1" applyFill="1" applyBorder="1" applyAlignment="1"/>
    <xf numFmtId="3" fontId="0" fillId="3" borderId="27" xfId="0" applyNumberFormat="1" applyFill="1" applyBorder="1" applyAlignment="1"/>
    <xf numFmtId="164" fontId="1" fillId="0" borderId="69" xfId="2" applyNumberFormat="1" applyBorder="1" applyAlignment="1" applyProtection="1">
      <protection locked="0"/>
    </xf>
    <xf numFmtId="164" fontId="1" fillId="0" borderId="65" xfId="2" applyNumberFormat="1" applyBorder="1" applyAlignment="1" applyProtection="1">
      <protection locked="0"/>
    </xf>
    <xf numFmtId="164" fontId="1" fillId="0" borderId="20" xfId="2" applyNumberFormat="1" applyBorder="1" applyAlignment="1" applyProtection="1">
      <protection locked="0"/>
    </xf>
    <xf numFmtId="164" fontId="1" fillId="0" borderId="27" xfId="2" applyNumberFormat="1" applyBorder="1" applyAlignment="1" applyProtection="1">
      <protection locked="0"/>
    </xf>
    <xf numFmtId="164" fontId="1" fillId="0" borderId="48" xfId="2" applyNumberFormat="1" applyBorder="1" applyAlignment="1" applyProtection="1">
      <protection locked="0"/>
    </xf>
    <xf numFmtId="164" fontId="1" fillId="0" borderId="16" xfId="2" applyNumberFormat="1" applyBorder="1" applyAlignment="1" applyProtection="1">
      <protection locked="0"/>
    </xf>
    <xf numFmtId="3" fontId="0" fillId="2" borderId="72" xfId="0" applyNumberFormat="1" applyFill="1" applyBorder="1" applyAlignment="1"/>
    <xf numFmtId="3" fontId="0" fillId="2" borderId="68" xfId="0" applyNumberFormat="1" applyFill="1" applyBorder="1" applyAlignment="1"/>
    <xf numFmtId="3" fontId="0" fillId="3" borderId="74" xfId="0" applyNumberFormat="1" applyFill="1" applyBorder="1" applyAlignment="1"/>
    <xf numFmtId="164" fontId="1" fillId="0" borderId="72" xfId="2" applyNumberFormat="1" applyBorder="1" applyAlignment="1" applyProtection="1">
      <protection locked="0"/>
    </xf>
    <xf numFmtId="164" fontId="1" fillId="0" borderId="75" xfId="2" applyNumberFormat="1" applyBorder="1" applyAlignment="1" applyProtection="1">
      <protection locked="0"/>
    </xf>
    <xf numFmtId="164" fontId="1" fillId="0" borderId="73" xfId="2" applyNumberFormat="1" applyBorder="1" applyAlignment="1" applyProtection="1">
      <protection locked="0"/>
    </xf>
    <xf numFmtId="0" fontId="4" fillId="0" borderId="1" xfId="0" applyFont="1" applyBorder="1" applyAlignment="1">
      <alignment horizontal="center"/>
    </xf>
    <xf numFmtId="3" fontId="0" fillId="0" borderId="12" xfId="0" applyNumberFormat="1" applyBorder="1" applyAlignment="1" applyProtection="1">
      <alignment horizontal="right"/>
      <protection locked="0"/>
    </xf>
    <xf numFmtId="3" fontId="0" fillId="0" borderId="17" xfId="0" applyNumberFormat="1" applyBorder="1" applyAlignment="1" applyProtection="1">
      <alignment horizontal="right"/>
      <protection locked="0"/>
    </xf>
    <xf numFmtId="0" fontId="0" fillId="0" borderId="67" xfId="0" applyBorder="1" applyAlignment="1" applyProtection="1">
      <protection locked="0"/>
    </xf>
    <xf numFmtId="0" fontId="0" fillId="0" borderId="75" xfId="0" applyBorder="1" applyAlignment="1" applyProtection="1">
      <protection locked="0"/>
    </xf>
    <xf numFmtId="3" fontId="0" fillId="0" borderId="61" xfId="0" applyNumberFormat="1" applyBorder="1" applyAlignment="1" applyProtection="1">
      <alignment horizontal="right"/>
      <protection locked="0"/>
    </xf>
    <xf numFmtId="3" fontId="0" fillId="0" borderId="18" xfId="0" applyNumberFormat="1" applyBorder="1" applyAlignment="1" applyProtection="1">
      <alignment horizontal="right"/>
      <protection locked="0"/>
    </xf>
    <xf numFmtId="3" fontId="0" fillId="2" borderId="64" xfId="0" applyNumberFormat="1" applyFill="1" applyBorder="1" applyAlignment="1"/>
    <xf numFmtId="3" fontId="0" fillId="2" borderId="54" xfId="0" applyNumberFormat="1" applyFill="1" applyBorder="1" applyAlignment="1"/>
    <xf numFmtId="3" fontId="0" fillId="2" borderId="56" xfId="0" applyNumberFormat="1" applyFill="1" applyBorder="1" applyAlignment="1">
      <alignment horizontal="right"/>
    </xf>
    <xf numFmtId="3" fontId="0" fillId="2" borderId="58" xfId="0" applyNumberFormat="1" applyFill="1" applyBorder="1" applyAlignment="1">
      <alignment horizontal="right"/>
    </xf>
    <xf numFmtId="3" fontId="0" fillId="0" borderId="23" xfId="0" applyNumberFormat="1" applyBorder="1" applyAlignment="1" applyProtection="1">
      <alignment horizontal="right"/>
      <protection locked="0"/>
    </xf>
    <xf numFmtId="3" fontId="0" fillId="0" borderId="19" xfId="0" applyNumberFormat="1" applyBorder="1" applyAlignment="1" applyProtection="1">
      <alignment horizontal="right"/>
      <protection locked="0"/>
    </xf>
    <xf numFmtId="3" fontId="0" fillId="0" borderId="66" xfId="0" applyNumberFormat="1" applyBorder="1" applyAlignment="1" applyProtection="1">
      <alignment horizontal="right"/>
      <protection locked="0"/>
    </xf>
    <xf numFmtId="3" fontId="0" fillId="0" borderId="47" xfId="0" applyNumberFormat="1" applyBorder="1" applyAlignment="1" applyProtection="1">
      <alignment horizontal="right"/>
      <protection locked="0"/>
    </xf>
    <xf numFmtId="0" fontId="0" fillId="0" borderId="61" xfId="0" applyBorder="1" applyAlignment="1" applyProtection="1">
      <protection locked="0"/>
    </xf>
    <xf numFmtId="0" fontId="0" fillId="0" borderId="13" xfId="0" applyBorder="1" applyAlignment="1" applyProtection="1">
      <protection locked="0"/>
    </xf>
    <xf numFmtId="0" fontId="0" fillId="0" borderId="10" xfId="0" applyBorder="1" applyAlignment="1" applyProtection="1">
      <protection locked="0"/>
    </xf>
    <xf numFmtId="0" fontId="0" fillId="0" borderId="61" xfId="0" applyBorder="1" applyAlignment="1"/>
    <xf numFmtId="0" fontId="0" fillId="0" borderId="13" xfId="0" applyBorder="1" applyAlignment="1"/>
    <xf numFmtId="0" fontId="0" fillId="0" borderId="12" xfId="0" applyBorder="1" applyAlignment="1"/>
    <xf numFmtId="0" fontId="0" fillId="0" borderId="6" xfId="0" applyBorder="1" applyAlignment="1"/>
    <xf numFmtId="0" fontId="0" fillId="0" borderId="75" xfId="0" applyBorder="1" applyAlignment="1"/>
    <xf numFmtId="0" fontId="0" fillId="0" borderId="48" xfId="0" applyBorder="1" applyAlignment="1"/>
    <xf numFmtId="0" fontId="0" fillId="0" borderId="78" xfId="0" applyBorder="1" applyAlignment="1"/>
    <xf numFmtId="0" fontId="0" fillId="0" borderId="25" xfId="0" applyBorder="1" applyAlignment="1"/>
    <xf numFmtId="0" fontId="4" fillId="0" borderId="0" xfId="0" applyFont="1" applyAlignment="1">
      <alignment horizontal="center"/>
    </xf>
    <xf numFmtId="0" fontId="0" fillId="0" borderId="0" xfId="0" applyAlignment="1">
      <alignment horizontal="center"/>
    </xf>
    <xf numFmtId="0" fontId="3" fillId="0" borderId="12" xfId="0" applyFont="1" applyBorder="1" applyAlignment="1" applyProtection="1">
      <protection locked="0"/>
    </xf>
    <xf numFmtId="0" fontId="0" fillId="0" borderId="6" xfId="0" applyBorder="1" applyAlignment="1" applyProtection="1">
      <protection locked="0"/>
    </xf>
    <xf numFmtId="3" fontId="0" fillId="2" borderId="2" xfId="0" applyNumberFormat="1" applyFill="1" applyBorder="1" applyAlignment="1"/>
    <xf numFmtId="3" fontId="0" fillId="2" borderId="15" xfId="0" applyNumberFormat="1" applyFill="1" applyBorder="1" applyAlignment="1"/>
    <xf numFmtId="3" fontId="0" fillId="2" borderId="60" xfId="0" applyNumberFormat="1" applyFill="1" applyBorder="1" applyAlignment="1">
      <alignment horizontal="right"/>
    </xf>
    <xf numFmtId="3" fontId="0" fillId="2" borderId="54" xfId="0" applyNumberFormat="1" applyFill="1" applyBorder="1" applyAlignment="1">
      <alignment horizontal="right"/>
    </xf>
    <xf numFmtId="3" fontId="0" fillId="2" borderId="59" xfId="0" applyNumberFormat="1" applyFill="1" applyBorder="1" applyAlignment="1">
      <alignment horizontal="right"/>
    </xf>
    <xf numFmtId="3" fontId="6" fillId="2" borderId="108" xfId="0" applyNumberFormat="1" applyFont="1" applyFill="1" applyBorder="1" applyAlignment="1">
      <alignment horizontal="right"/>
    </xf>
    <xf numFmtId="3" fontId="6" fillId="2" borderId="14" xfId="0" applyNumberFormat="1" applyFont="1" applyFill="1" applyBorder="1" applyAlignment="1">
      <alignment horizontal="right"/>
    </xf>
    <xf numFmtId="3" fontId="6" fillId="15" borderId="108" xfId="0" applyNumberFormat="1" applyFont="1" applyFill="1" applyBorder="1" applyAlignment="1">
      <alignment horizontal="right"/>
    </xf>
    <xf numFmtId="3" fontId="6" fillId="15" borderId="14" xfId="0" applyNumberFormat="1" applyFont="1" applyFill="1" applyBorder="1" applyAlignment="1">
      <alignment horizontal="right"/>
    </xf>
    <xf numFmtId="3" fontId="6" fillId="2" borderId="54" xfId="0" applyNumberFormat="1" applyFont="1" applyFill="1" applyBorder="1" applyAlignment="1">
      <alignment horizontal="right"/>
    </xf>
    <xf numFmtId="0" fontId="0" fillId="2" borderId="66"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0" borderId="6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7" xfId="0" applyBorder="1" applyAlignment="1" applyProtection="1">
      <alignment horizontal="center"/>
      <protection locked="0"/>
    </xf>
    <xf numFmtId="3" fontId="0" fillId="2" borderId="101" xfId="0" applyNumberFormat="1" applyFill="1" applyBorder="1" applyAlignment="1">
      <alignment horizontal="right"/>
    </xf>
    <xf numFmtId="0" fontId="0" fillId="2" borderId="67" xfId="0" applyFill="1" applyBorder="1" applyAlignment="1">
      <alignment horizontal="center"/>
    </xf>
    <xf numFmtId="0" fontId="0" fillId="2" borderId="75" xfId="0" applyFill="1" applyBorder="1" applyAlignment="1">
      <alignment horizontal="center"/>
    </xf>
    <xf numFmtId="0" fontId="0" fillId="2" borderId="68" xfId="0" applyFill="1" applyBorder="1" applyAlignment="1">
      <alignment horizontal="center"/>
    </xf>
    <xf numFmtId="3" fontId="0" fillId="2" borderId="14" xfId="0" applyNumberFormat="1" applyFill="1" applyBorder="1" applyAlignment="1">
      <alignment horizontal="right"/>
    </xf>
    <xf numFmtId="0" fontId="0" fillId="15" borderId="66" xfId="0" applyFill="1" applyBorder="1" applyAlignment="1" applyProtection="1">
      <alignment horizontal="center"/>
      <protection locked="0"/>
    </xf>
    <xf numFmtId="0" fontId="0" fillId="15" borderId="48" xfId="0" applyFill="1" applyBorder="1" applyAlignment="1" applyProtection="1">
      <alignment horizontal="center"/>
      <protection locked="0"/>
    </xf>
    <xf numFmtId="0" fontId="0" fillId="15" borderId="47" xfId="0" applyFill="1" applyBorder="1" applyAlignment="1" applyProtection="1">
      <alignment horizontal="center"/>
      <protection locked="0"/>
    </xf>
    <xf numFmtId="0" fontId="0" fillId="0" borderId="70"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104" xfId="0" applyBorder="1" applyAlignment="1" applyProtection="1">
      <alignment horizontal="center"/>
      <protection locked="0"/>
    </xf>
    <xf numFmtId="3" fontId="1" fillId="2" borderId="107" xfId="0" applyNumberFormat="1" applyFont="1" applyFill="1" applyBorder="1" applyAlignment="1">
      <alignment horizontal="right"/>
    </xf>
    <xf numFmtId="3" fontId="1" fillId="2" borderId="14" xfId="0" applyNumberFormat="1" applyFont="1" applyFill="1" applyBorder="1" applyAlignment="1">
      <alignment horizontal="right"/>
    </xf>
    <xf numFmtId="0" fontId="0" fillId="0" borderId="10" xfId="0" applyBorder="1" applyAlignment="1"/>
    <xf numFmtId="0" fontId="0" fillId="0" borderId="15" xfId="0" applyBorder="1" applyAlignment="1"/>
    <xf numFmtId="0" fontId="3" fillId="0" borderId="66" xfId="0" applyFont="1" applyBorder="1" applyAlignment="1"/>
    <xf numFmtId="0" fontId="3" fillId="0" borderId="48" xfId="0" applyFont="1" applyBorder="1" applyAlignment="1"/>
    <xf numFmtId="0" fontId="3" fillId="0" borderId="47" xfId="0" applyFont="1" applyBorder="1" applyAlignment="1"/>
    <xf numFmtId="0" fontId="4" fillId="0" borderId="2" xfId="0" applyFont="1" applyBorder="1" applyAlignment="1"/>
    <xf numFmtId="0" fontId="4" fillId="0" borderId="10" xfId="0" applyFont="1" applyBorder="1" applyAlignment="1"/>
    <xf numFmtId="0" fontId="4" fillId="0" borderId="15" xfId="0" applyFont="1" applyBorder="1" applyAlignment="1"/>
    <xf numFmtId="0" fontId="4" fillId="0" borderId="12" xfId="0" applyFont="1" applyBorder="1" applyAlignment="1"/>
    <xf numFmtId="0" fontId="4" fillId="0" borderId="6" xfId="0" applyFont="1" applyBorder="1" applyAlignment="1"/>
    <xf numFmtId="0" fontId="4" fillId="0" borderId="17" xfId="0" applyFont="1" applyBorder="1" applyAlignment="1"/>
    <xf numFmtId="49" fontId="0" fillId="0" borderId="10" xfId="0" applyNumberFormat="1" applyBorder="1" applyAlignment="1"/>
    <xf numFmtId="49" fontId="0" fillId="0" borderId="15" xfId="0" applyNumberFormat="1" applyBorder="1" applyAlignment="1"/>
    <xf numFmtId="0" fontId="14" fillId="2" borderId="27" xfId="0" applyFont="1" applyFill="1" applyBorder="1" applyAlignment="1">
      <alignment horizontal="left" indent="1"/>
    </xf>
    <xf numFmtId="0" fontId="14" fillId="2" borderId="16" xfId="0" applyFont="1" applyFill="1" applyBorder="1" applyAlignment="1">
      <alignment horizontal="left" indent="1"/>
    </xf>
    <xf numFmtId="0" fontId="4" fillId="2" borderId="80" xfId="0" applyFont="1" applyFill="1" applyBorder="1" applyAlignment="1">
      <alignment horizontal="left" indent="1"/>
    </xf>
    <xf numFmtId="0" fontId="4" fillId="2" borderId="34" xfId="0" applyFont="1" applyFill="1" applyBorder="1" applyAlignment="1">
      <alignment horizontal="left" indent="1"/>
    </xf>
    <xf numFmtId="0" fontId="4" fillId="2" borderId="27" xfId="0" applyFont="1" applyFill="1" applyBorder="1" applyAlignment="1">
      <alignment horizontal="left" indent="1"/>
    </xf>
    <xf numFmtId="0" fontId="4" fillId="2" borderId="48" xfId="0" applyFont="1" applyFill="1" applyBorder="1" applyAlignment="1">
      <alignment horizontal="left" indent="1"/>
    </xf>
    <xf numFmtId="0" fontId="17" fillId="2" borderId="66" xfId="0" applyNumberFormat="1" applyFont="1" applyFill="1" applyBorder="1" applyAlignment="1"/>
    <xf numFmtId="0" fontId="17" fillId="2" borderId="48" xfId="0" applyNumberFormat="1" applyFont="1" applyFill="1" applyBorder="1" applyAlignment="1"/>
    <xf numFmtId="0" fontId="22" fillId="2" borderId="0" xfId="0" applyFont="1" applyFill="1" applyBorder="1" applyAlignment="1">
      <alignment horizontal="left"/>
    </xf>
    <xf numFmtId="0" fontId="17" fillId="2" borderId="25" xfId="0" applyNumberFormat="1" applyFont="1" applyFill="1" applyBorder="1" applyAlignment="1"/>
    <xf numFmtId="0" fontId="22" fillId="2" borderId="0" xfId="0" applyFont="1" applyFill="1" applyBorder="1" applyAlignment="1"/>
    <xf numFmtId="0" fontId="14" fillId="2" borderId="40" xfId="0" applyFont="1" applyFill="1" applyBorder="1" applyAlignment="1">
      <alignment horizontal="left" indent="1"/>
    </xf>
    <xf numFmtId="0" fontId="14" fillId="2" borderId="41" xfId="0" applyFont="1" applyFill="1" applyBorder="1" applyAlignment="1">
      <alignment horizontal="left" indent="1"/>
    </xf>
    <xf numFmtId="0" fontId="16" fillId="4" borderId="27" xfId="0" applyFont="1" applyFill="1" applyBorder="1" applyAlignment="1">
      <alignment horizontal="left" indent="2"/>
    </xf>
    <xf numFmtId="0" fontId="16" fillId="4" borderId="16" xfId="0" applyFont="1" applyFill="1" applyBorder="1" applyAlignment="1">
      <alignment horizontal="left" indent="2"/>
    </xf>
    <xf numFmtId="0" fontId="4" fillId="2" borderId="109" xfId="0" applyFont="1" applyFill="1" applyBorder="1" applyAlignment="1"/>
    <xf numFmtId="0" fontId="4" fillId="2" borderId="110" xfId="0" applyFont="1" applyFill="1" applyBorder="1" applyAlignment="1"/>
    <xf numFmtId="0" fontId="16" fillId="2" borderId="81" xfId="0" applyFont="1" applyFill="1" applyBorder="1" applyAlignment="1"/>
    <xf numFmtId="0" fontId="16" fillId="2" borderId="34" xfId="0" applyFont="1" applyFill="1" applyBorder="1" applyAlignment="1"/>
    <xf numFmtId="0" fontId="0" fillId="11" borderId="21" xfId="0" applyFill="1" applyBorder="1" applyAlignment="1">
      <alignment horizontal="left" vertical="top"/>
    </xf>
    <xf numFmtId="0" fontId="0" fillId="11" borderId="8" xfId="0" applyFill="1" applyBorder="1" applyAlignment="1">
      <alignment horizontal="left" vertical="top"/>
    </xf>
    <xf numFmtId="0" fontId="16" fillId="0" borderId="27" xfId="0" applyFont="1" applyBorder="1" applyAlignment="1"/>
    <xf numFmtId="0" fontId="16" fillId="0" borderId="16" xfId="0" applyFont="1" applyBorder="1" applyAlignment="1"/>
    <xf numFmtId="0" fontId="4" fillId="2" borderId="81" xfId="0" applyFont="1" applyFill="1" applyBorder="1" applyAlignment="1"/>
    <xf numFmtId="0" fontId="4" fillId="2" borderId="34" xfId="0" applyFont="1" applyFill="1" applyBorder="1" applyAlignment="1"/>
    <xf numFmtId="0" fontId="4" fillId="2" borderId="0" xfId="0" applyFont="1" applyFill="1" applyBorder="1" applyAlignment="1"/>
    <xf numFmtId="0" fontId="16" fillId="0" borderId="27" xfId="0" applyFont="1" applyFill="1" applyBorder="1" applyAlignment="1">
      <alignment horizontal="left" indent="2"/>
    </xf>
    <xf numFmtId="0" fontId="16" fillId="0" borderId="16" xfId="0" applyFont="1" applyFill="1" applyBorder="1" applyAlignment="1">
      <alignment horizontal="left" indent="2"/>
    </xf>
    <xf numFmtId="165" fontId="16" fillId="0" borderId="27" xfId="0" applyNumberFormat="1" applyFont="1" applyBorder="1" applyAlignment="1">
      <alignment horizontal="left" indent="2"/>
    </xf>
    <xf numFmtId="165" fontId="16" fillId="0" borderId="16" xfId="0" applyNumberFormat="1" applyFont="1" applyBorder="1" applyAlignment="1">
      <alignment horizontal="left" indent="2"/>
    </xf>
    <xf numFmtId="0" fontId="16" fillId="4" borderId="27" xfId="0" applyFont="1" applyFill="1" applyBorder="1" applyAlignment="1">
      <alignment horizontal="left" indent="1"/>
    </xf>
    <xf numFmtId="0" fontId="16" fillId="4" borderId="16" xfId="0" applyFont="1" applyFill="1" applyBorder="1" applyAlignment="1">
      <alignment horizontal="left" indent="1"/>
    </xf>
    <xf numFmtId="0" fontId="15" fillId="2" borderId="0" xfId="0" applyFont="1" applyFill="1" applyBorder="1" applyAlignment="1">
      <alignment horizontal="left"/>
    </xf>
    <xf numFmtId="0" fontId="16" fillId="0" borderId="0" xfId="0" applyFont="1" applyBorder="1" applyAlignment="1"/>
    <xf numFmtId="0" fontId="15" fillId="2" borderId="27" xfId="0" applyFont="1" applyFill="1" applyBorder="1" applyAlignment="1">
      <alignment horizontal="left" indent="1"/>
    </xf>
    <xf numFmtId="0" fontId="15" fillId="2" borderId="16" xfId="0" applyFont="1" applyFill="1" applyBorder="1" applyAlignment="1">
      <alignment horizontal="left" indent="1"/>
    </xf>
    <xf numFmtId="0" fontId="16" fillId="2" borderId="16" xfId="0" applyFont="1" applyFill="1" applyBorder="1" applyAlignment="1">
      <alignment horizontal="left" indent="1"/>
    </xf>
    <xf numFmtId="0" fontId="4" fillId="2" borderId="16" xfId="0" applyFont="1" applyFill="1" applyBorder="1" applyAlignment="1">
      <alignment horizontal="left" indent="1"/>
    </xf>
    <xf numFmtId="0" fontId="16" fillId="0" borderId="27" xfId="0" applyFont="1" applyBorder="1" applyAlignment="1">
      <alignment horizontal="left" indent="1"/>
    </xf>
    <xf numFmtId="0" fontId="16" fillId="0" borderId="16" xfId="0" applyFont="1" applyBorder="1" applyAlignment="1">
      <alignment horizontal="left" indent="1"/>
    </xf>
    <xf numFmtId="0" fontId="16" fillId="0" borderId="27" xfId="0" applyFont="1" applyFill="1" applyBorder="1" applyAlignment="1">
      <alignment horizontal="left" indent="1"/>
    </xf>
    <xf numFmtId="0" fontId="16" fillId="0" borderId="16" xfId="0" applyFont="1" applyFill="1" applyBorder="1" applyAlignment="1">
      <alignment horizontal="left" indent="1"/>
    </xf>
    <xf numFmtId="0" fontId="4" fillId="2" borderId="44" xfId="0" applyFont="1" applyFill="1" applyBorder="1" applyAlignment="1">
      <alignment horizontal="left" indent="1"/>
    </xf>
    <xf numFmtId="0" fontId="4" fillId="2" borderId="32" xfId="0" applyFont="1" applyFill="1" applyBorder="1" applyAlignment="1">
      <alignment horizontal="left" indent="1"/>
    </xf>
    <xf numFmtId="0" fontId="15" fillId="2" borderId="80" xfId="0" applyFont="1" applyFill="1" applyBorder="1" applyAlignment="1">
      <alignment horizontal="left" indent="1"/>
    </xf>
    <xf numFmtId="0" fontId="15" fillId="2" borderId="34" xfId="0" applyFont="1" applyFill="1" applyBorder="1" applyAlignment="1">
      <alignment horizontal="left" indent="1"/>
    </xf>
    <xf numFmtId="0" fontId="15" fillId="2" borderId="80" xfId="0" applyFont="1" applyFill="1" applyBorder="1" applyAlignment="1"/>
    <xf numFmtId="0" fontId="15" fillId="2" borderId="34" xfId="0" applyFont="1" applyFill="1" applyBorder="1" applyAlignment="1"/>
    <xf numFmtId="0" fontId="15" fillId="2" borderId="25" xfId="0" applyFont="1" applyFill="1" applyBorder="1" applyAlignment="1"/>
    <xf numFmtId="0" fontId="9" fillId="0" borderId="0" xfId="0" applyFont="1" applyBorder="1" applyAlignment="1">
      <alignment horizontal="center" vertical="center"/>
    </xf>
    <xf numFmtId="0" fontId="16" fillId="4" borderId="27" xfId="0" applyFont="1" applyFill="1" applyBorder="1" applyAlignment="1">
      <alignment horizontal="left"/>
    </xf>
    <xf numFmtId="0" fontId="16" fillId="4" borderId="16" xfId="0" applyFont="1" applyFill="1" applyBorder="1" applyAlignment="1">
      <alignment horizontal="left"/>
    </xf>
    <xf numFmtId="0" fontId="15" fillId="2" borderId="0" xfId="0" applyFont="1" applyFill="1" applyBorder="1" applyAlignment="1"/>
    <xf numFmtId="0" fontId="15" fillId="2" borderId="44" xfId="0" applyFont="1" applyFill="1" applyBorder="1" applyAlignment="1">
      <alignment horizontal="left" indent="1"/>
    </xf>
    <xf numFmtId="0" fontId="15" fillId="2" borderId="32" xfId="0" applyFont="1" applyFill="1" applyBorder="1" applyAlignment="1">
      <alignment horizontal="left" indent="1"/>
    </xf>
    <xf numFmtId="0" fontId="15" fillId="2" borderId="48" xfId="0" applyFont="1" applyFill="1" applyBorder="1" applyAlignment="1">
      <alignment horizontal="left" indent="1"/>
    </xf>
    <xf numFmtId="0" fontId="17" fillId="2" borderId="78" xfId="0" applyNumberFormat="1" applyFont="1" applyFill="1" applyBorder="1" applyAlignment="1"/>
    <xf numFmtId="0" fontId="4" fillId="2" borderId="45" xfId="0" applyFont="1" applyFill="1" applyBorder="1" applyAlignment="1">
      <alignment horizontal="left" indent="1"/>
    </xf>
    <xf numFmtId="0" fontId="4" fillId="2" borderId="35" xfId="0" applyFont="1" applyFill="1" applyBorder="1" applyAlignment="1">
      <alignment horizontal="left" indent="1"/>
    </xf>
    <xf numFmtId="0" fontId="4" fillId="2" borderId="40" xfId="0" applyFont="1" applyFill="1" applyBorder="1" applyAlignment="1">
      <alignment horizontal="left" indent="1"/>
    </xf>
    <xf numFmtId="0" fontId="4" fillId="2" borderId="41" xfId="0" applyFont="1" applyFill="1" applyBorder="1" applyAlignment="1">
      <alignment horizontal="left" indent="1"/>
    </xf>
    <xf numFmtId="0" fontId="10" fillId="0" borderId="0" xfId="0" applyFont="1" applyBorder="1" applyAlignment="1"/>
    <xf numFmtId="0" fontId="15" fillId="2" borderId="35" xfId="0" applyFont="1" applyFill="1" applyBorder="1" applyAlignment="1"/>
    <xf numFmtId="0" fontId="16" fillId="2" borderId="66" xfId="0" applyFont="1" applyFill="1" applyBorder="1" applyAlignment="1"/>
    <xf numFmtId="0" fontId="16" fillId="2" borderId="16" xfId="0" applyFont="1" applyFill="1" applyBorder="1" applyAlignment="1"/>
    <xf numFmtId="0" fontId="15" fillId="2" borderId="44" xfId="0" applyFont="1" applyFill="1" applyBorder="1" applyAlignment="1"/>
    <xf numFmtId="0" fontId="15" fillId="2" borderId="32" xfId="0" applyFont="1" applyFill="1" applyBorder="1" applyAlignment="1"/>
    <xf numFmtId="0" fontId="42" fillId="2" borderId="44" xfId="0" applyFont="1" applyFill="1" applyBorder="1" applyAlignment="1">
      <alignment horizontal="left" indent="3"/>
    </xf>
    <xf numFmtId="0" fontId="42" fillId="2" borderId="32" xfId="0" applyFont="1" applyFill="1" applyBorder="1" applyAlignment="1">
      <alignment horizontal="left" indent="3"/>
    </xf>
    <xf numFmtId="0" fontId="10" fillId="2" borderId="80" xfId="0" applyFont="1" applyFill="1" applyBorder="1" applyAlignment="1"/>
    <xf numFmtId="0" fontId="10" fillId="2" borderId="34" xfId="0" applyFont="1" applyFill="1" applyBorder="1" applyAlignment="1"/>
    <xf numFmtId="0" fontId="18" fillId="2" borderId="25" xfId="0" applyFont="1" applyFill="1" applyBorder="1" applyAlignment="1"/>
    <xf numFmtId="0" fontId="15" fillId="2" borderId="80" xfId="0" applyFont="1" applyFill="1" applyBorder="1" applyAlignment="1">
      <alignment horizontal="left"/>
    </xf>
    <xf numFmtId="0" fontId="15" fillId="2" borderId="34" xfId="0" applyFont="1" applyFill="1" applyBorder="1" applyAlignment="1">
      <alignment horizontal="left"/>
    </xf>
    <xf numFmtId="0" fontId="37" fillId="0" borderId="0" xfId="3" applyFont="1" applyAlignment="1" applyProtection="1">
      <alignment wrapText="1"/>
    </xf>
    <xf numFmtId="0" fontId="37" fillId="0" borderId="0" xfId="3" applyFont="1" applyAlignment="1" applyProtection="1"/>
    <xf numFmtId="0" fontId="37" fillId="0" borderId="0" xfId="3" applyFont="1" applyAlignment="1" applyProtection="1">
      <alignment vertical="top" wrapText="1"/>
    </xf>
    <xf numFmtId="3" fontId="1" fillId="0" borderId="2" xfId="3" applyNumberFormat="1" applyFill="1" applyBorder="1" applyAlignment="1" applyProtection="1">
      <alignment horizontal="center"/>
    </xf>
    <xf numFmtId="3" fontId="1" fillId="0" borderId="10" xfId="3" applyNumberFormat="1" applyFill="1" applyBorder="1" applyAlignment="1" applyProtection="1">
      <alignment horizontal="center"/>
    </xf>
    <xf numFmtId="3" fontId="1" fillId="0" borderId="15" xfId="3" applyNumberFormat="1" applyFill="1" applyBorder="1" applyAlignment="1" applyProtection="1">
      <alignment horizontal="center"/>
    </xf>
    <xf numFmtId="0" fontId="32" fillId="0" borderId="0" xfId="3" applyFont="1" applyAlignment="1" applyProtection="1">
      <alignment horizontal="center" vertical="top"/>
    </xf>
    <xf numFmtId="0" fontId="4" fillId="0" borderId="0" xfId="3" applyFont="1" applyAlignment="1" applyProtection="1"/>
    <xf numFmtId="0" fontId="1" fillId="0" borderId="12" xfId="3" applyFont="1" applyFill="1" applyBorder="1" applyAlignment="1" applyProtection="1">
      <alignment horizontal="center"/>
    </xf>
    <xf numFmtId="0" fontId="1" fillId="0" borderId="6" xfId="3" applyFont="1" applyFill="1" applyBorder="1" applyAlignment="1" applyProtection="1">
      <alignment horizontal="center"/>
    </xf>
    <xf numFmtId="0" fontId="1" fillId="0" borderId="17" xfId="3" applyFont="1" applyFill="1" applyBorder="1" applyAlignment="1" applyProtection="1">
      <alignment horizontal="center"/>
    </xf>
    <xf numFmtId="3" fontId="1" fillId="0" borderId="2" xfId="3" applyNumberFormat="1" applyFill="1" applyBorder="1" applyAlignment="1">
      <alignment horizontal="center"/>
    </xf>
    <xf numFmtId="3" fontId="1" fillId="0" borderId="10" xfId="3" applyNumberFormat="1" applyFill="1" applyBorder="1" applyAlignment="1">
      <alignment horizontal="center"/>
    </xf>
    <xf numFmtId="3" fontId="1" fillId="0" borderId="15" xfId="3" applyNumberFormat="1" applyFill="1" applyBorder="1" applyAlignment="1">
      <alignment horizontal="center"/>
    </xf>
    <xf numFmtId="0" fontId="1" fillId="0" borderId="12" xfId="3" applyFont="1" applyFill="1" applyBorder="1" applyAlignment="1">
      <alignment horizontal="center"/>
    </xf>
    <xf numFmtId="0" fontId="1" fillId="0" borderId="6" xfId="3" applyFont="1" applyFill="1" applyBorder="1" applyAlignment="1">
      <alignment horizontal="center"/>
    </xf>
    <xf numFmtId="0" fontId="1" fillId="0" borderId="17" xfId="3" applyFont="1" applyFill="1" applyBorder="1" applyAlignment="1">
      <alignment horizontal="center"/>
    </xf>
    <xf numFmtId="0" fontId="32" fillId="0" borderId="0" xfId="3" applyFont="1" applyAlignment="1">
      <alignment horizontal="center" vertical="top"/>
    </xf>
    <xf numFmtId="0" fontId="4" fillId="0" borderId="0" xfId="3" applyFont="1" applyAlignment="1"/>
    <xf numFmtId="0" fontId="2" fillId="0" borderId="0" xfId="0" applyFont="1" applyAlignment="1">
      <alignment horizontal="center"/>
    </xf>
    <xf numFmtId="0" fontId="0" fillId="0" borderId="10" xfId="0" applyBorder="1" applyAlignment="1" applyProtection="1">
      <alignment vertical="center" wrapText="1"/>
    </xf>
    <xf numFmtId="0" fontId="0" fillId="12" borderId="10" xfId="0" applyFill="1" applyBorder="1" applyAlignment="1" applyProtection="1">
      <alignment vertical="center" wrapText="1"/>
    </xf>
    <xf numFmtId="0" fontId="3" fillId="0" borderId="10"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4" fillId="12" borderId="10" xfId="0" applyFont="1" applyFill="1" applyBorder="1" applyAlignment="1" applyProtection="1">
      <alignment horizontal="center" vertical="center" wrapText="1"/>
    </xf>
    <xf numFmtId="49" fontId="4" fillId="12" borderId="10" xfId="0" applyNumberFormat="1" applyFont="1" applyFill="1" applyBorder="1" applyAlignment="1" applyProtection="1">
      <alignment horizontal="center" vertical="center" wrapText="1"/>
    </xf>
    <xf numFmtId="0" fontId="0" fillId="0" borderId="10" xfId="0" applyBorder="1" applyAlignment="1" applyProtection="1">
      <alignment vertical="center"/>
    </xf>
    <xf numFmtId="0" fontId="0" fillId="12" borderId="10" xfId="0" applyFill="1" applyBorder="1" applyAlignment="1" applyProtection="1">
      <alignment horizontal="center" vertical="center" wrapText="1"/>
    </xf>
    <xf numFmtId="0" fontId="3" fillId="0" borderId="10" xfId="0" applyFont="1" applyBorder="1" applyAlignment="1" applyProtection="1">
      <alignment vertical="center" wrapText="1"/>
    </xf>
    <xf numFmtId="49" fontId="3" fillId="0" borderId="10" xfId="0" applyNumberFormat="1" applyFont="1" applyBorder="1" applyAlignment="1" applyProtection="1">
      <alignment horizontal="center" vertical="center" wrapText="1"/>
    </xf>
    <xf numFmtId="0" fontId="0" fillId="0" borderId="10" xfId="0" applyBorder="1" applyAlignment="1" applyProtection="1">
      <alignment horizontal="left" vertical="center" wrapText="1"/>
    </xf>
    <xf numFmtId="0" fontId="0" fillId="0" borderId="10" xfId="0" applyBorder="1" applyAlignment="1" applyProtection="1">
      <alignment horizontal="center" vertical="top" wrapText="1"/>
    </xf>
    <xf numFmtId="0" fontId="0" fillId="0" borderId="10" xfId="0" applyBorder="1" applyAlignment="1">
      <alignment vertical="center" wrapText="1"/>
    </xf>
    <xf numFmtId="165" fontId="0" fillId="0" borderId="10" xfId="0" applyNumberFormat="1" applyBorder="1" applyAlignment="1" applyProtection="1">
      <alignment vertical="center" wrapText="1"/>
    </xf>
    <xf numFmtId="0" fontId="18" fillId="0" borderId="0" xfId="0" applyFont="1" applyAlignment="1" applyProtection="1">
      <alignment horizontal="center" vertical="center" wrapText="1"/>
    </xf>
    <xf numFmtId="0" fontId="8" fillId="0" borderId="8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23" fillId="0" borderId="0" xfId="0" applyFont="1" applyBorder="1" applyAlignment="1">
      <alignment vertical="center" wrapText="1"/>
    </xf>
    <xf numFmtId="0" fontId="23" fillId="0" borderId="87" xfId="0" applyFont="1" applyBorder="1" applyAlignment="1">
      <alignment vertical="center" wrapText="1"/>
    </xf>
    <xf numFmtId="0" fontId="23" fillId="0" borderId="0" xfId="0" applyFont="1" applyBorder="1" applyAlignment="1">
      <alignment horizontal="right" vertical="center" wrapText="1"/>
    </xf>
    <xf numFmtId="4" fontId="23" fillId="0" borderId="60" xfId="0" applyNumberFormat="1" applyFont="1" applyFill="1" applyBorder="1" applyAlignment="1">
      <alignment vertical="center" wrapText="1"/>
    </xf>
    <xf numFmtId="4" fontId="23" fillId="0" borderId="59" xfId="0" applyNumberFormat="1" applyFont="1" applyFill="1" applyBorder="1" applyAlignment="1">
      <alignment vertical="center" wrapText="1"/>
    </xf>
    <xf numFmtId="0" fontId="24" fillId="0" borderId="24" xfId="0" applyFont="1" applyFill="1" applyBorder="1" applyAlignment="1">
      <alignment vertical="center" wrapText="1"/>
    </xf>
    <xf numFmtId="0" fontId="24" fillId="0" borderId="59" xfId="0" applyFont="1" applyFill="1" applyBorder="1" applyAlignment="1">
      <alignment vertical="center" wrapText="1"/>
    </xf>
    <xf numFmtId="0" fontId="24" fillId="0" borderId="53" xfId="0" applyFont="1" applyBorder="1" applyAlignment="1">
      <alignment horizontal="center" vertical="center" wrapText="1"/>
    </xf>
    <xf numFmtId="0" fontId="24" fillId="0" borderId="99" xfId="0" applyFont="1" applyBorder="1" applyAlignment="1">
      <alignment horizontal="center" vertical="center" wrapText="1"/>
    </xf>
    <xf numFmtId="4" fontId="23" fillId="13" borderId="60" xfId="0" applyNumberFormat="1" applyFont="1" applyFill="1" applyBorder="1" applyAlignment="1">
      <alignment vertical="center" wrapText="1"/>
    </xf>
    <xf numFmtId="4" fontId="23" fillId="13" borderId="59" xfId="0" applyNumberFormat="1" applyFont="1" applyFill="1" applyBorder="1" applyAlignment="1">
      <alignment vertical="center" wrapText="1"/>
    </xf>
    <xf numFmtId="4" fontId="24" fillId="13" borderId="60" xfId="0" applyNumberFormat="1" applyFont="1" applyFill="1" applyBorder="1" applyAlignment="1">
      <alignment vertical="center" wrapText="1"/>
    </xf>
    <xf numFmtId="4" fontId="24" fillId="13" borderId="59" xfId="0" applyNumberFormat="1" applyFont="1" applyFill="1" applyBorder="1" applyAlignment="1">
      <alignment vertical="center" wrapText="1"/>
    </xf>
    <xf numFmtId="4" fontId="23" fillId="0" borderId="100" xfId="0" applyNumberFormat="1" applyFont="1" applyFill="1" applyBorder="1" applyAlignment="1">
      <alignment vertical="center" wrapText="1"/>
    </xf>
    <xf numFmtId="4" fontId="23" fillId="13" borderId="100" xfId="0" applyNumberFormat="1" applyFont="1" applyFill="1" applyBorder="1" applyAlignment="1">
      <alignment vertical="center" wrapText="1"/>
    </xf>
    <xf numFmtId="0" fontId="24" fillId="0" borderId="8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98" xfId="0" applyFont="1" applyBorder="1" applyAlignment="1">
      <alignment horizontal="center" vertical="center" wrapText="1"/>
    </xf>
    <xf numFmtId="0" fontId="24" fillId="13" borderId="24" xfId="0" applyFont="1" applyFill="1" applyBorder="1" applyAlignment="1">
      <alignment vertical="center" wrapText="1"/>
    </xf>
    <xf numFmtId="0" fontId="24" fillId="13" borderId="59" xfId="0" applyFont="1" applyFill="1" applyBorder="1" applyAlignment="1">
      <alignment vertical="center" wrapText="1"/>
    </xf>
    <xf numFmtId="0" fontId="24" fillId="0" borderId="95" xfId="0" applyFont="1" applyBorder="1" applyAlignment="1">
      <alignment horizontal="center" vertical="center" wrapText="1"/>
    </xf>
    <xf numFmtId="0" fontId="23" fillId="0" borderId="55" xfId="0" applyFont="1" applyBorder="1" applyAlignment="1">
      <alignment vertical="center" wrapText="1"/>
    </xf>
    <xf numFmtId="0" fontId="23" fillId="0" borderId="11" xfId="0" applyFont="1" applyBorder="1" applyAlignment="1">
      <alignment vertical="center" wrapText="1"/>
    </xf>
    <xf numFmtId="0" fontId="23" fillId="0" borderId="93" xfId="0" applyFont="1" applyBorder="1" applyAlignment="1">
      <alignment vertical="center" wrapText="1"/>
    </xf>
    <xf numFmtId="0" fontId="23" fillId="0" borderId="63" xfId="0" applyFont="1" applyBorder="1" applyAlignment="1">
      <alignment vertical="center" wrapText="1"/>
    </xf>
    <xf numFmtId="0" fontId="23" fillId="0" borderId="64" xfId="0" applyFont="1" applyBorder="1" applyAlignment="1">
      <alignment vertical="center" wrapText="1"/>
    </xf>
    <xf numFmtId="0" fontId="23" fillId="0" borderId="1" xfId="0" applyFont="1" applyBorder="1" applyAlignment="1">
      <alignment vertical="center" wrapText="1"/>
    </xf>
    <xf numFmtId="0" fontId="23" fillId="0" borderId="88" xfId="0" applyFont="1" applyBorder="1" applyAlignment="1">
      <alignment vertical="center" wrapText="1"/>
    </xf>
    <xf numFmtId="0" fontId="24" fillId="0" borderId="92" xfId="0" applyFont="1" applyBorder="1" applyAlignment="1">
      <alignment vertical="center" wrapText="1"/>
    </xf>
    <xf numFmtId="0" fontId="24" fillId="0" borderId="11" xfId="0" applyFont="1" applyBorder="1" applyAlignment="1">
      <alignment vertical="center" wrapText="1"/>
    </xf>
    <xf numFmtId="0" fontId="23" fillId="0" borderId="83" xfId="0" applyFont="1" applyBorder="1" applyAlignment="1">
      <alignment vertical="center" wrapText="1"/>
    </xf>
    <xf numFmtId="0" fontId="23" fillId="0" borderId="84" xfId="0" applyFont="1" applyBorder="1" applyAlignment="1">
      <alignment vertical="center" wrapText="1"/>
    </xf>
    <xf numFmtId="0" fontId="23" fillId="0" borderId="0" xfId="0" applyFont="1" applyBorder="1" applyAlignment="1"/>
    <xf numFmtId="0" fontId="23" fillId="0" borderId="87" xfId="0" applyFont="1" applyBorder="1" applyAlignment="1"/>
    <xf numFmtId="10" fontId="23" fillId="0" borderId="25" xfId="0" applyNumberFormat="1" applyFont="1" applyBorder="1" applyAlignment="1" applyProtection="1">
      <alignment horizontal="center" vertical="center" wrapText="1"/>
      <protection locked="0"/>
    </xf>
    <xf numFmtId="0" fontId="23" fillId="0" borderId="96" xfId="0" applyFont="1" applyBorder="1" applyAlignment="1" applyProtection="1">
      <alignment horizontal="center" vertical="center" wrapText="1"/>
      <protection locked="0"/>
    </xf>
    <xf numFmtId="0" fontId="23" fillId="0" borderId="91" xfId="0" applyFont="1" applyBorder="1" applyAlignment="1">
      <alignment vertical="center" wrapText="1"/>
    </xf>
    <xf numFmtId="0" fontId="23" fillId="0" borderId="29" xfId="0" applyFont="1" applyBorder="1" applyAlignment="1">
      <alignment vertical="center" wrapText="1"/>
    </xf>
    <xf numFmtId="0" fontId="23" fillId="0" borderId="86" xfId="0" applyFont="1" applyBorder="1" applyAlignment="1">
      <alignment vertical="center" wrapText="1"/>
    </xf>
    <xf numFmtId="0" fontId="8" fillId="0" borderId="64" xfId="0" applyFont="1" applyBorder="1" applyAlignment="1">
      <alignment vertical="center" wrapText="1"/>
    </xf>
    <xf numFmtId="0" fontId="8" fillId="0" borderId="1" xfId="0" applyFont="1" applyBorder="1" applyAlignment="1">
      <alignment vertical="center" wrapText="1"/>
    </xf>
    <xf numFmtId="0" fontId="8" fillId="0" borderId="88" xfId="0" applyFont="1" applyBorder="1" applyAlignment="1">
      <alignment vertical="center" wrapText="1"/>
    </xf>
    <xf numFmtId="0" fontId="23" fillId="0" borderId="0" xfId="0" applyFont="1" applyBorder="1" applyAlignment="1">
      <alignment vertical="center"/>
    </xf>
    <xf numFmtId="0" fontId="23" fillId="0" borderId="25" xfId="0" applyFont="1" applyBorder="1" applyAlignment="1" applyProtection="1">
      <alignment vertical="center" wrapText="1"/>
      <protection locked="0"/>
    </xf>
    <xf numFmtId="14" fontId="23" fillId="0" borderId="25" xfId="0" applyNumberFormat="1"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14" fontId="23" fillId="0" borderId="25" xfId="0" applyNumberFormat="1"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5" fillId="0" borderId="8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85"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Border="1" applyAlignment="1">
      <alignment vertical="center" wrapText="1"/>
    </xf>
    <xf numFmtId="0" fontId="24" fillId="0" borderId="87" xfId="0" applyFont="1" applyBorder="1" applyAlignment="1">
      <alignmen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EAEAEA"/>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falchi\AppData\Local\Microsoft\Windows\Temporary%20Internet%20Files\Content.Outlook\Y7PNKLO5\campus%20RR%20Budget%20Template%20-%20FY12%20ST%20Instruction%2020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sonnel Yr 1"/>
      <sheetName val="Personnel Yr 2"/>
      <sheetName val="Personnel Yr 3"/>
      <sheetName val="Personnel Yr 4"/>
      <sheetName val="Personnel Yr 5"/>
      <sheetName val="Non-personnel"/>
      <sheetName val="Summary"/>
      <sheetName val="File Copy"/>
      <sheetName val="File Copy - No Salary"/>
      <sheetName val="Drop Choices"/>
      <sheetName val="Justification"/>
      <sheetName val="424a"/>
      <sheetName val="ED524"/>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Dr</v>
          </cell>
          <cell r="B2" t="str">
            <v>MTDC</v>
          </cell>
          <cell r="C2" t="str">
            <v>Federal</v>
          </cell>
          <cell r="D2">
            <v>0.21199999999999999</v>
          </cell>
          <cell r="G2" t="str">
            <v>Instruction - Off Campus</v>
          </cell>
          <cell r="H2">
            <v>0.26</v>
          </cell>
          <cell r="I2" t="str">
            <v>Research - On Campus - 48.00%</v>
          </cell>
          <cell r="J2" t="str">
            <v>Instruction - Off Campus</v>
          </cell>
          <cell r="K2">
            <v>0.26</v>
          </cell>
          <cell r="L2" t="str">
            <v>PI</v>
          </cell>
          <cell r="M2">
            <v>1</v>
          </cell>
          <cell r="O2" t="str">
            <v>FY12 - $1206</v>
          </cell>
        </row>
        <row r="3">
          <cell r="A3" t="str">
            <v>Prof</v>
          </cell>
          <cell r="B3" t="str">
            <v>TDC</v>
          </cell>
          <cell r="C3" t="str">
            <v>Fnd/Prof Soc</v>
          </cell>
          <cell r="D3">
            <v>0.49</v>
          </cell>
          <cell r="G3" t="str">
            <v>Instruction - On Campus</v>
          </cell>
          <cell r="H3">
            <v>0.32</v>
          </cell>
          <cell r="I3" t="str">
            <v>Instruction - On Campus - 32.00%</v>
          </cell>
          <cell r="J3" t="str">
            <v>Instruction - On Campus</v>
          </cell>
          <cell r="K3">
            <v>0.32</v>
          </cell>
          <cell r="L3" t="str">
            <v>Co-PI</v>
          </cell>
          <cell r="M3">
            <v>2</v>
          </cell>
          <cell r="O3" t="str">
            <v>FY13 - $1252</v>
          </cell>
        </row>
        <row r="4">
          <cell r="A4" t="str">
            <v>Ms</v>
          </cell>
          <cell r="B4" t="str">
            <v>SWFB</v>
          </cell>
          <cell r="C4" t="str">
            <v>Full</v>
          </cell>
          <cell r="D4">
            <v>0.35499999999999998</v>
          </cell>
          <cell r="G4" t="str">
            <v>Other - Off Campus</v>
          </cell>
          <cell r="H4">
            <v>0.26</v>
          </cell>
          <cell r="I4" t="str">
            <v>Other - On Campus - 33.00%</v>
          </cell>
          <cell r="J4" t="str">
            <v>Other - Off Campus</v>
          </cell>
          <cell r="K4">
            <v>0.26</v>
          </cell>
          <cell r="L4" t="str">
            <v>Co-Investigator</v>
          </cell>
          <cell r="M4">
            <v>3</v>
          </cell>
          <cell r="O4" t="str">
            <v>FY14 - $1300</v>
          </cell>
        </row>
        <row r="5">
          <cell r="A5" t="str">
            <v>Mrs</v>
          </cell>
          <cell r="B5" t="str">
            <v>NSF</v>
          </cell>
          <cell r="C5" t="str">
            <v>Summer</v>
          </cell>
          <cell r="D5">
            <v>0.192</v>
          </cell>
          <cell r="G5" t="str">
            <v>Other - On Campus</v>
          </cell>
          <cell r="H5">
            <v>0.33</v>
          </cell>
          <cell r="I5" t="str">
            <v>Research - Off Campus - 26.00%</v>
          </cell>
          <cell r="J5" t="str">
            <v>Other - On Campus</v>
          </cell>
          <cell r="K5">
            <v>0.33</v>
          </cell>
          <cell r="L5" t="str">
            <v>Fellow</v>
          </cell>
          <cell r="M5">
            <v>4</v>
          </cell>
          <cell r="O5" t="str">
            <v>FY15 - $1349</v>
          </cell>
        </row>
        <row r="6">
          <cell r="A6" t="str">
            <v>Mr</v>
          </cell>
          <cell r="C6" t="str">
            <v>Temp</v>
          </cell>
          <cell r="D6">
            <v>8.2000000000000003E-2</v>
          </cell>
          <cell r="G6" t="str">
            <v>Research - Off Campus</v>
          </cell>
          <cell r="H6">
            <v>0.26</v>
          </cell>
          <cell r="I6" t="str">
            <v>Instruction - Off Campus - 26.00%</v>
          </cell>
          <cell r="J6" t="str">
            <v>Research - Off Campus</v>
          </cell>
          <cell r="K6">
            <v>0.26</v>
          </cell>
          <cell r="L6" t="str">
            <v>Project Director</v>
          </cell>
          <cell r="M6">
            <v>5</v>
          </cell>
        </row>
        <row r="7">
          <cell r="A7" t="str">
            <v>Rev</v>
          </cell>
          <cell r="G7" t="str">
            <v>Research - On Campus</v>
          </cell>
          <cell r="H7">
            <v>0.47</v>
          </cell>
          <cell r="I7" t="str">
            <v>Other - Off Campus - 26.00%</v>
          </cell>
          <cell r="J7" t="str">
            <v>Research - On Campus</v>
          </cell>
          <cell r="K7">
            <v>0.48</v>
          </cell>
          <cell r="L7" t="str">
            <v>Statistician</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grants.nih.gov/grants/funding/modular/modular_faq_pub.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grants.nih.gov/grants/funding/modular/modular_faq_pub.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zoomScaleNormal="100" workbookViewId="0">
      <selection sqref="A1:K1"/>
    </sheetView>
  </sheetViews>
  <sheetFormatPr defaultColWidth="8.85546875" defaultRowHeight="12.75" x14ac:dyDescent="0.2"/>
  <cols>
    <col min="1" max="16384" width="8.85546875" style="250"/>
  </cols>
  <sheetData>
    <row r="1" spans="1:11" ht="14.25" customHeight="1" x14ac:dyDescent="0.25">
      <c r="A1" s="536" t="s">
        <v>528</v>
      </c>
      <c r="B1" s="536"/>
      <c r="C1" s="536"/>
      <c r="D1" s="536"/>
      <c r="E1" s="536"/>
      <c r="F1" s="536"/>
      <c r="G1" s="536"/>
      <c r="H1" s="536"/>
      <c r="I1" s="536"/>
      <c r="J1" s="536"/>
      <c r="K1" s="536"/>
    </row>
    <row r="2" spans="1:11" ht="14.25" customHeight="1" x14ac:dyDescent="0.2">
      <c r="A2" s="537" t="s">
        <v>220</v>
      </c>
      <c r="B2" s="537"/>
      <c r="C2" s="537"/>
      <c r="D2" s="537"/>
      <c r="E2" s="537"/>
      <c r="F2" s="537"/>
      <c r="G2" s="537"/>
      <c r="H2" s="537"/>
      <c r="I2" s="537"/>
      <c r="J2" s="537"/>
      <c r="K2" s="537"/>
    </row>
    <row r="3" spans="1:11" ht="14.25" customHeight="1" x14ac:dyDescent="0.2">
      <c r="A3" s="537" t="s">
        <v>529</v>
      </c>
      <c r="B3" s="537"/>
      <c r="C3" s="537"/>
      <c r="D3" s="537"/>
      <c r="E3" s="537"/>
      <c r="F3" s="537"/>
      <c r="G3" s="537"/>
      <c r="H3" s="537"/>
      <c r="I3" s="537"/>
      <c r="J3" s="537"/>
      <c r="K3" s="537"/>
    </row>
    <row r="4" spans="1:11" ht="14.25" customHeight="1" x14ac:dyDescent="0.25">
      <c r="A4" s="538" t="s">
        <v>221</v>
      </c>
      <c r="B4" s="538"/>
      <c r="C4" s="538"/>
      <c r="D4" s="538"/>
      <c r="E4" s="538"/>
      <c r="F4" s="538"/>
      <c r="G4" s="538"/>
      <c r="H4" s="538"/>
      <c r="I4" s="538"/>
      <c r="J4" s="538"/>
      <c r="K4" s="538"/>
    </row>
    <row r="5" spans="1:11" ht="14.25" customHeight="1" x14ac:dyDescent="0.2">
      <c r="A5" s="539" t="s">
        <v>227</v>
      </c>
      <c r="B5" s="539"/>
      <c r="C5" s="540" t="s">
        <v>224</v>
      </c>
      <c r="D5" s="540"/>
      <c r="E5" s="540"/>
      <c r="F5" s="540"/>
      <c r="G5" s="540"/>
      <c r="H5" s="540"/>
      <c r="I5" s="540"/>
      <c r="J5" s="540"/>
      <c r="K5" s="540"/>
    </row>
    <row r="6" spans="1:11" ht="14.25" customHeight="1" x14ac:dyDescent="0.2">
      <c r="A6" s="541" t="s">
        <v>228</v>
      </c>
      <c r="B6" s="541"/>
      <c r="C6" s="540" t="s">
        <v>225</v>
      </c>
      <c r="D6" s="540"/>
      <c r="E6" s="540"/>
      <c r="F6" s="540"/>
      <c r="G6" s="540"/>
      <c r="H6" s="540"/>
      <c r="I6" s="540"/>
      <c r="J6" s="540"/>
      <c r="K6" s="540"/>
    </row>
    <row r="7" spans="1:11" ht="14.25" customHeight="1" x14ac:dyDescent="0.2">
      <c r="A7" s="542" t="s">
        <v>229</v>
      </c>
      <c r="B7" s="542"/>
      <c r="C7" s="540" t="s">
        <v>226</v>
      </c>
      <c r="D7" s="540"/>
      <c r="E7" s="540"/>
      <c r="F7" s="540"/>
      <c r="G7" s="540"/>
      <c r="H7" s="540"/>
      <c r="I7" s="540"/>
      <c r="J7" s="540"/>
      <c r="K7" s="540"/>
    </row>
    <row r="8" spans="1:11" ht="14.25" customHeight="1" x14ac:dyDescent="0.2">
      <c r="A8" s="249"/>
      <c r="B8" s="249"/>
      <c r="C8" s="249"/>
      <c r="D8" s="249"/>
      <c r="E8" s="249"/>
      <c r="F8" s="249"/>
      <c r="G8" s="249"/>
      <c r="H8" s="249"/>
      <c r="I8" s="249"/>
      <c r="J8" s="249"/>
      <c r="K8" s="249"/>
    </row>
    <row r="9" spans="1:11" ht="14.25" customHeight="1" x14ac:dyDescent="0.25">
      <c r="A9" s="538" t="s">
        <v>222</v>
      </c>
      <c r="B9" s="538"/>
      <c r="C9" s="538"/>
      <c r="D9" s="538"/>
      <c r="E9" s="538"/>
      <c r="F9" s="538"/>
      <c r="G9" s="538"/>
      <c r="H9" s="538"/>
      <c r="I9" s="538"/>
      <c r="J9" s="538"/>
      <c r="K9" s="538"/>
    </row>
    <row r="10" spans="1:11" ht="14.25" x14ac:dyDescent="0.2">
      <c r="A10" s="190" t="s">
        <v>231</v>
      </c>
      <c r="B10" s="535" t="s">
        <v>516</v>
      </c>
      <c r="C10" s="535"/>
      <c r="D10" s="535"/>
      <c r="E10" s="535"/>
      <c r="F10" s="535"/>
      <c r="G10" s="535"/>
      <c r="H10" s="535"/>
      <c r="I10" s="535"/>
      <c r="J10" s="535"/>
      <c r="K10" s="535"/>
    </row>
    <row r="11" spans="1:11" ht="14.25" x14ac:dyDescent="0.2">
      <c r="A11" s="190" t="s">
        <v>232</v>
      </c>
      <c r="B11" s="535" t="s">
        <v>486</v>
      </c>
      <c r="C11" s="535"/>
      <c r="D11" s="535"/>
      <c r="E11" s="535"/>
      <c r="F11" s="535"/>
      <c r="G11" s="535"/>
      <c r="H11" s="535"/>
      <c r="I11" s="535"/>
      <c r="J11" s="535"/>
      <c r="K11" s="535"/>
    </row>
    <row r="12" spans="1:11" s="406" customFormat="1" ht="33" customHeight="1" x14ac:dyDescent="0.2">
      <c r="A12" s="190" t="s">
        <v>233</v>
      </c>
      <c r="B12" s="535" t="s">
        <v>506</v>
      </c>
      <c r="C12" s="535"/>
      <c r="D12" s="535"/>
      <c r="E12" s="535"/>
      <c r="F12" s="535"/>
      <c r="G12" s="535"/>
      <c r="H12" s="535"/>
      <c r="I12" s="535"/>
      <c r="J12" s="535"/>
      <c r="K12" s="535"/>
    </row>
    <row r="13" spans="1:11" ht="33" hidden="1" customHeight="1" x14ac:dyDescent="0.2">
      <c r="A13" s="190" t="s">
        <v>404</v>
      </c>
      <c r="B13" s="535" t="s">
        <v>243</v>
      </c>
      <c r="C13" s="535"/>
      <c r="D13" s="535"/>
      <c r="E13" s="535"/>
      <c r="F13" s="535"/>
      <c r="G13" s="535"/>
      <c r="H13" s="535"/>
      <c r="I13" s="535"/>
      <c r="J13" s="535"/>
      <c r="K13" s="535"/>
    </row>
    <row r="14" spans="1:11" ht="14.25" x14ac:dyDescent="0.2">
      <c r="A14" s="251"/>
      <c r="B14" s="544"/>
      <c r="C14" s="544"/>
      <c r="D14" s="544"/>
      <c r="E14" s="544"/>
      <c r="F14" s="544"/>
      <c r="G14" s="544"/>
      <c r="H14" s="544"/>
      <c r="I14" s="544"/>
      <c r="J14" s="544"/>
      <c r="K14" s="544"/>
    </row>
    <row r="15" spans="1:11" ht="14.25" customHeight="1" x14ac:dyDescent="0.25">
      <c r="A15" s="538" t="s">
        <v>514</v>
      </c>
      <c r="B15" s="538"/>
      <c r="C15" s="538"/>
      <c r="D15" s="538"/>
      <c r="E15" s="538"/>
      <c r="F15" s="538"/>
      <c r="G15" s="538"/>
      <c r="H15" s="538"/>
      <c r="I15" s="538"/>
      <c r="J15" s="538"/>
      <c r="K15" s="538"/>
    </row>
    <row r="16" spans="1:11" ht="14.25" x14ac:dyDescent="0.2">
      <c r="A16" s="190" t="s">
        <v>231</v>
      </c>
      <c r="B16" s="535" t="s">
        <v>515</v>
      </c>
      <c r="C16" s="535"/>
      <c r="D16" s="535"/>
      <c r="E16" s="535"/>
      <c r="F16" s="535"/>
      <c r="G16" s="535"/>
      <c r="H16" s="535"/>
      <c r="I16" s="535"/>
      <c r="J16" s="535"/>
      <c r="K16" s="535"/>
    </row>
    <row r="17" spans="1:11" ht="14.25" x14ac:dyDescent="0.2">
      <c r="A17" s="190" t="s">
        <v>232</v>
      </c>
      <c r="B17" s="535" t="s">
        <v>517</v>
      </c>
      <c r="C17" s="535"/>
      <c r="D17" s="535"/>
      <c r="E17" s="535"/>
      <c r="F17" s="535"/>
      <c r="G17" s="535"/>
      <c r="H17" s="535"/>
      <c r="I17" s="535"/>
      <c r="J17" s="535"/>
      <c r="K17" s="535"/>
    </row>
    <row r="18" spans="1:11" ht="14.25" x14ac:dyDescent="0.2">
      <c r="A18" s="252"/>
      <c r="B18" s="544"/>
      <c r="C18" s="544"/>
      <c r="D18" s="544"/>
      <c r="E18" s="544"/>
      <c r="F18" s="544"/>
      <c r="G18" s="544"/>
      <c r="H18" s="544"/>
      <c r="I18" s="544"/>
      <c r="J18" s="544"/>
      <c r="K18" s="544"/>
    </row>
    <row r="19" spans="1:11" ht="14.25" customHeight="1" x14ac:dyDescent="0.25">
      <c r="A19" s="538" t="s">
        <v>223</v>
      </c>
      <c r="B19" s="538"/>
      <c r="C19" s="538"/>
      <c r="D19" s="538"/>
      <c r="E19" s="538"/>
      <c r="F19" s="538"/>
      <c r="G19" s="538"/>
      <c r="H19" s="538"/>
      <c r="I19" s="538"/>
      <c r="J19" s="538"/>
      <c r="K19" s="538"/>
    </row>
    <row r="20" spans="1:11" ht="14.25" x14ac:dyDescent="0.2">
      <c r="A20" s="190" t="s">
        <v>231</v>
      </c>
      <c r="B20" s="535" t="s">
        <v>230</v>
      </c>
      <c r="C20" s="535"/>
      <c r="D20" s="535"/>
      <c r="E20" s="535"/>
      <c r="F20" s="535"/>
      <c r="G20" s="535"/>
      <c r="H20" s="535"/>
      <c r="I20" s="535"/>
      <c r="J20" s="535"/>
      <c r="K20" s="535"/>
    </row>
    <row r="21" spans="1:11" s="406" customFormat="1" ht="14.25" x14ac:dyDescent="0.2">
      <c r="A21" s="251"/>
      <c r="B21" s="544"/>
      <c r="C21" s="544"/>
      <c r="D21" s="544"/>
      <c r="E21" s="544"/>
      <c r="F21" s="544"/>
      <c r="G21" s="544"/>
      <c r="H21" s="544"/>
      <c r="I21" s="544"/>
      <c r="J21" s="544"/>
      <c r="K21" s="544"/>
    </row>
    <row r="22" spans="1:11" ht="14.25" customHeight="1" x14ac:dyDescent="0.25">
      <c r="A22" s="538" t="s">
        <v>508</v>
      </c>
      <c r="B22" s="538"/>
      <c r="C22" s="538"/>
      <c r="D22" s="538"/>
      <c r="E22" s="538"/>
      <c r="F22" s="538"/>
      <c r="G22" s="538"/>
      <c r="H22" s="538"/>
      <c r="I22" s="538"/>
      <c r="J22" s="538"/>
      <c r="K22" s="538"/>
    </row>
    <row r="23" spans="1:11" ht="58.5" customHeight="1" x14ac:dyDescent="0.2">
      <c r="A23" s="190" t="s">
        <v>231</v>
      </c>
      <c r="B23" s="535" t="s">
        <v>509</v>
      </c>
      <c r="C23" s="535"/>
      <c r="D23" s="535"/>
      <c r="E23" s="535"/>
      <c r="F23" s="535"/>
      <c r="G23" s="535"/>
      <c r="H23" s="535"/>
      <c r="I23" s="535"/>
      <c r="J23" s="535"/>
      <c r="K23" s="535"/>
    </row>
    <row r="24" spans="1:11" ht="14.25" x14ac:dyDescent="0.2">
      <c r="A24" s="190" t="s">
        <v>232</v>
      </c>
      <c r="B24" s="535" t="s">
        <v>522</v>
      </c>
      <c r="C24" s="535"/>
      <c r="D24" s="535"/>
      <c r="E24" s="535"/>
      <c r="F24" s="535"/>
      <c r="G24" s="535"/>
      <c r="H24" s="535"/>
      <c r="I24" s="535"/>
      <c r="J24" s="535"/>
      <c r="K24" s="535"/>
    </row>
    <row r="25" spans="1:11" ht="14.25" customHeight="1" x14ac:dyDescent="0.2">
      <c r="A25" s="249"/>
      <c r="B25" s="535" t="s">
        <v>523</v>
      </c>
      <c r="C25" s="535"/>
      <c r="D25" s="535"/>
      <c r="E25" s="535"/>
      <c r="F25" s="535"/>
      <c r="G25" s="535"/>
      <c r="H25" s="535"/>
      <c r="I25" s="535"/>
      <c r="J25" s="535"/>
      <c r="K25" s="535"/>
    </row>
    <row r="26" spans="1:11" ht="14.25" customHeight="1" x14ac:dyDescent="0.2">
      <c r="A26" s="249"/>
      <c r="C26" s="543" t="s">
        <v>524</v>
      </c>
      <c r="D26" s="543"/>
      <c r="E26" s="543"/>
      <c r="F26" s="543"/>
      <c r="G26" s="543"/>
      <c r="H26" s="543"/>
      <c r="I26" s="543"/>
      <c r="J26" s="543"/>
      <c r="K26" s="543"/>
    </row>
    <row r="27" spans="1:11" ht="14.25" customHeight="1" x14ac:dyDescent="0.2">
      <c r="A27" s="249"/>
      <c r="B27" s="249"/>
      <c r="C27" s="249" t="s">
        <v>525</v>
      </c>
      <c r="D27" s="249"/>
      <c r="E27" s="249"/>
      <c r="F27" s="249"/>
      <c r="G27" s="249"/>
      <c r="H27" s="249"/>
      <c r="I27" s="249"/>
      <c r="J27" s="249"/>
      <c r="K27" s="249"/>
    </row>
    <row r="28" spans="1:11" ht="14.25" customHeight="1" x14ac:dyDescent="0.2">
      <c r="A28" s="249"/>
      <c r="B28" s="249"/>
      <c r="C28" s="543" t="s">
        <v>526</v>
      </c>
      <c r="D28" s="543"/>
      <c r="E28" s="543"/>
      <c r="F28" s="543"/>
      <c r="G28" s="543"/>
      <c r="H28" s="543"/>
      <c r="I28" s="543"/>
      <c r="J28" s="543"/>
      <c r="K28" s="543"/>
    </row>
    <row r="29" spans="1:11" ht="14.25" customHeight="1" x14ac:dyDescent="0.2">
      <c r="A29" s="249"/>
      <c r="B29" s="249"/>
      <c r="C29" s="249"/>
      <c r="D29" s="249"/>
      <c r="E29" s="249"/>
      <c r="F29" s="249"/>
      <c r="G29" s="249"/>
      <c r="H29" s="249"/>
      <c r="I29" s="249"/>
      <c r="J29" s="249"/>
      <c r="K29" s="249"/>
    </row>
    <row r="30" spans="1:11" ht="14.25" customHeight="1" x14ac:dyDescent="0.2">
      <c r="A30" s="249"/>
      <c r="B30" s="249"/>
      <c r="C30" s="249"/>
      <c r="D30" s="249"/>
      <c r="E30" s="249"/>
      <c r="F30" s="249"/>
      <c r="G30" s="249"/>
      <c r="H30" s="249"/>
      <c r="I30" s="249"/>
      <c r="J30" s="249"/>
      <c r="K30" s="249"/>
    </row>
    <row r="31" spans="1:11" ht="14.25" customHeight="1" x14ac:dyDescent="0.2">
      <c r="A31" s="249"/>
      <c r="B31" s="249"/>
      <c r="C31" s="249"/>
      <c r="D31" s="249"/>
      <c r="E31" s="249"/>
      <c r="F31" s="249"/>
      <c r="G31" s="249"/>
      <c r="H31" s="249"/>
      <c r="I31" s="249"/>
      <c r="J31" s="249"/>
      <c r="K31" s="249"/>
    </row>
    <row r="32" spans="1:11" ht="14.25" customHeight="1" x14ac:dyDescent="0.2">
      <c r="A32" s="249"/>
      <c r="B32" s="249"/>
      <c r="C32" s="249"/>
      <c r="D32" s="249"/>
      <c r="E32" s="249"/>
      <c r="F32" s="249"/>
      <c r="G32" s="249"/>
      <c r="H32" s="249"/>
      <c r="I32" s="249"/>
      <c r="J32" s="249"/>
      <c r="K32" s="249"/>
    </row>
    <row r="33" spans="1:11" ht="14.25" customHeight="1" x14ac:dyDescent="0.2">
      <c r="A33" s="249"/>
      <c r="B33" s="249"/>
      <c r="C33" s="249"/>
      <c r="D33" s="249"/>
      <c r="E33" s="249"/>
      <c r="F33" s="249"/>
      <c r="G33" s="249"/>
      <c r="H33" s="249"/>
      <c r="I33" s="249"/>
      <c r="J33" s="249"/>
      <c r="K33" s="249"/>
    </row>
    <row r="34" spans="1:11" ht="14.25" customHeight="1" x14ac:dyDescent="0.2">
      <c r="A34" s="249"/>
      <c r="B34" s="249"/>
      <c r="C34" s="249"/>
      <c r="D34" s="249"/>
      <c r="E34" s="249"/>
      <c r="F34" s="249"/>
      <c r="G34" s="249"/>
      <c r="H34" s="249"/>
      <c r="I34" s="249"/>
      <c r="J34" s="249"/>
      <c r="K34" s="249"/>
    </row>
    <row r="35" spans="1:11" ht="14.25" customHeight="1" x14ac:dyDescent="0.2">
      <c r="A35" s="249"/>
      <c r="B35" s="249"/>
      <c r="C35" s="249"/>
      <c r="D35" s="249"/>
      <c r="E35" s="249"/>
      <c r="F35" s="249"/>
      <c r="G35" s="249"/>
      <c r="H35" s="249"/>
      <c r="I35" s="249"/>
      <c r="J35" s="249"/>
      <c r="K35" s="249"/>
    </row>
    <row r="36" spans="1:11" ht="14.25" customHeight="1" x14ac:dyDescent="0.2">
      <c r="A36" s="249"/>
      <c r="B36" s="249"/>
      <c r="C36" s="249"/>
      <c r="D36" s="249"/>
      <c r="E36" s="249"/>
      <c r="F36" s="249"/>
      <c r="G36" s="249"/>
      <c r="H36" s="249"/>
      <c r="I36" s="249"/>
      <c r="J36" s="249"/>
      <c r="K36" s="249"/>
    </row>
    <row r="37" spans="1:11" ht="14.25" customHeight="1" x14ac:dyDescent="0.2">
      <c r="A37" s="249"/>
      <c r="B37" s="249"/>
      <c r="C37" s="249"/>
      <c r="D37" s="249"/>
      <c r="E37" s="249"/>
      <c r="F37" s="249"/>
      <c r="G37" s="249"/>
      <c r="H37" s="249"/>
      <c r="I37" s="249"/>
      <c r="J37" s="249"/>
      <c r="K37" s="249"/>
    </row>
    <row r="38" spans="1:11" ht="14.25" customHeight="1" x14ac:dyDescent="0.2">
      <c r="A38" s="249"/>
      <c r="B38" s="249"/>
      <c r="C38" s="249"/>
      <c r="D38" s="249"/>
      <c r="E38" s="249"/>
      <c r="F38" s="249"/>
      <c r="G38" s="249"/>
      <c r="H38" s="249"/>
      <c r="I38" s="249"/>
      <c r="J38" s="249"/>
      <c r="K38" s="249"/>
    </row>
    <row r="39" spans="1:11" ht="14.25" customHeight="1" x14ac:dyDescent="0.2">
      <c r="A39" s="249"/>
      <c r="B39" s="249"/>
      <c r="C39" s="249"/>
      <c r="D39" s="249"/>
      <c r="E39" s="249"/>
      <c r="F39" s="249"/>
      <c r="G39" s="249"/>
      <c r="H39" s="249"/>
      <c r="I39" s="249"/>
      <c r="J39" s="249"/>
      <c r="K39" s="249"/>
    </row>
    <row r="40" spans="1:11" ht="14.25" customHeight="1" x14ac:dyDescent="0.2">
      <c r="A40" s="249"/>
      <c r="B40" s="249"/>
      <c r="C40" s="249"/>
      <c r="D40" s="249"/>
      <c r="E40" s="249"/>
      <c r="F40" s="249"/>
      <c r="G40" s="249"/>
      <c r="H40" s="249"/>
      <c r="I40" s="249"/>
      <c r="J40" s="249"/>
      <c r="K40" s="249"/>
    </row>
    <row r="41" spans="1:11" ht="14.25" customHeight="1" x14ac:dyDescent="0.2">
      <c r="A41" s="249"/>
      <c r="B41" s="249"/>
      <c r="C41" s="249"/>
      <c r="D41" s="249"/>
      <c r="E41" s="249"/>
      <c r="F41" s="249"/>
      <c r="G41" s="249"/>
      <c r="H41" s="249"/>
      <c r="I41" s="249"/>
      <c r="J41" s="249"/>
      <c r="K41" s="249"/>
    </row>
    <row r="42" spans="1:11" ht="14.25" customHeight="1" x14ac:dyDescent="0.2">
      <c r="A42" s="249"/>
      <c r="B42" s="249"/>
      <c r="C42" s="249"/>
      <c r="D42" s="249"/>
      <c r="E42" s="249"/>
      <c r="F42" s="249"/>
      <c r="G42" s="249"/>
      <c r="H42" s="249"/>
      <c r="I42" s="249"/>
      <c r="J42" s="249"/>
      <c r="K42" s="249"/>
    </row>
    <row r="43" spans="1:11" ht="14.25" customHeight="1" x14ac:dyDescent="0.2">
      <c r="A43" s="249"/>
      <c r="B43" s="249"/>
      <c r="C43" s="249"/>
      <c r="D43" s="249"/>
      <c r="E43" s="249"/>
      <c r="F43" s="249"/>
      <c r="G43" s="249"/>
      <c r="H43" s="249"/>
      <c r="I43" s="249"/>
      <c r="J43" s="249"/>
      <c r="K43" s="249"/>
    </row>
    <row r="44" spans="1:11" ht="14.25" customHeight="1" x14ac:dyDescent="0.2">
      <c r="A44" s="249"/>
      <c r="B44" s="249"/>
      <c r="C44" s="249"/>
      <c r="D44" s="249"/>
      <c r="E44" s="249"/>
      <c r="F44" s="249"/>
      <c r="G44" s="249"/>
      <c r="H44" s="249"/>
      <c r="I44" s="249"/>
      <c r="J44" s="249"/>
      <c r="K44" s="249"/>
    </row>
    <row r="45" spans="1:11" ht="14.25" customHeight="1" x14ac:dyDescent="0.2">
      <c r="A45" s="249"/>
      <c r="B45" s="249"/>
      <c r="C45" s="249"/>
      <c r="D45" s="249"/>
      <c r="E45" s="249"/>
      <c r="F45" s="249"/>
      <c r="G45" s="249"/>
      <c r="H45" s="249"/>
      <c r="I45" s="249"/>
      <c r="J45" s="249"/>
      <c r="K45" s="249"/>
    </row>
    <row r="46" spans="1:11" ht="14.25" customHeight="1" x14ac:dyDescent="0.2"/>
  </sheetData>
  <sheetProtection algorithmName="SHA-512" hashValue="0Hr16SIaYQ6AtQTBZMia4DJpNUWZKQph5csr6kpE2VqUW9ygmVKhFSuwP7Nbu+I53gGKqpm+eeiX2xFGhTz9dA==" saltValue="4AprOHBzFJj3+8RIgoX2vQ==" spinCount="100000" sheet="1" objects="1" scenarios="1"/>
  <mergeCells count="29">
    <mergeCell ref="C26:K26"/>
    <mergeCell ref="C28:K28"/>
    <mergeCell ref="B25:K25"/>
    <mergeCell ref="B21:K21"/>
    <mergeCell ref="B12:K12"/>
    <mergeCell ref="A22:K22"/>
    <mergeCell ref="B23:K23"/>
    <mergeCell ref="B17:K17"/>
    <mergeCell ref="B18:K18"/>
    <mergeCell ref="A19:K19"/>
    <mergeCell ref="B20:K20"/>
    <mergeCell ref="B13:K13"/>
    <mergeCell ref="B14:K14"/>
    <mergeCell ref="A15:K15"/>
    <mergeCell ref="B16:K16"/>
    <mergeCell ref="B24:K24"/>
    <mergeCell ref="B11:K11"/>
    <mergeCell ref="B10:K10"/>
    <mergeCell ref="A1:K1"/>
    <mergeCell ref="A2:K2"/>
    <mergeCell ref="A3:K3"/>
    <mergeCell ref="A4:K4"/>
    <mergeCell ref="A5:B5"/>
    <mergeCell ref="C5:K5"/>
    <mergeCell ref="A6:B6"/>
    <mergeCell ref="C6:K6"/>
    <mergeCell ref="A7:B7"/>
    <mergeCell ref="C7:K7"/>
    <mergeCell ref="A9:K9"/>
  </mergeCells>
  <pageMargins left="0.25" right="0.2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40"/>
  <sheetViews>
    <sheetView zoomScaleNormal="100" workbookViewId="0">
      <selection sqref="A1:I1"/>
    </sheetView>
  </sheetViews>
  <sheetFormatPr defaultColWidth="8.85546875" defaultRowHeight="12.75" x14ac:dyDescent="0.2"/>
  <cols>
    <col min="1" max="1" width="7.7109375" style="348" customWidth="1"/>
    <col min="2" max="2" width="12.7109375" style="348" customWidth="1"/>
    <col min="3" max="3" width="15.5703125" style="348" customWidth="1"/>
    <col min="4" max="9" width="11" style="348" customWidth="1"/>
    <col min="10" max="10" width="9.140625" style="348" bestFit="1" customWidth="1"/>
    <col min="11" max="18" width="8.85546875" style="348"/>
    <col min="19" max="20" width="8.85546875" style="349"/>
    <col min="21" max="34" width="8.85546875" style="350"/>
    <col min="35" max="44" width="8.85546875" style="444"/>
    <col min="45" max="16384" width="8.85546875" style="285"/>
  </cols>
  <sheetData>
    <row r="1" spans="1:50" ht="18" x14ac:dyDescent="0.2">
      <c r="A1" s="851" t="s">
        <v>448</v>
      </c>
      <c r="B1" s="851"/>
      <c r="C1" s="851"/>
      <c r="D1" s="851"/>
      <c r="E1" s="851"/>
      <c r="F1" s="851"/>
      <c r="G1" s="851"/>
      <c r="H1" s="851"/>
      <c r="I1" s="851"/>
      <c r="S1" s="442"/>
      <c r="T1" s="442"/>
      <c r="AS1" s="443"/>
      <c r="AT1" s="443"/>
      <c r="AU1" s="443"/>
      <c r="AV1" s="443"/>
      <c r="AW1" s="443"/>
      <c r="AX1" s="443"/>
    </row>
    <row r="2" spans="1:50" ht="14.45" customHeight="1" x14ac:dyDescent="0.25">
      <c r="A2" s="852" t="s">
        <v>126</v>
      </c>
      <c r="B2" s="852"/>
      <c r="C2" s="852" t="str">
        <f>CONCATENATE('Personnel Yr 1'!B7, IF(OR(ISBLANK('Personnel Yr 1'!B7),'Personnel Yr 1'!B7=""),""," "),'Personnel Yr 1'!C7, " ",'Personnel Yr 1'!D7,IF(OR(ISBLANK('Personnel Yr 1'!D7),'Personnel Yr 1'!D7=""),""," "),'Personnel Yr 1'!E7," ",'Personnel Yr 1'!F7)</f>
        <v xml:space="preserve">    </v>
      </c>
      <c r="D2" s="852"/>
      <c r="E2" s="351" t="s">
        <v>218</v>
      </c>
      <c r="F2" s="351">
        <f>'Personnel Yr 1'!N4</f>
        <v>0</v>
      </c>
      <c r="H2" s="352" t="s">
        <v>104</v>
      </c>
      <c r="I2" s="353">
        <f>'Personnel Yr 1'!H5</f>
        <v>44713</v>
      </c>
      <c r="K2" s="354" t="s">
        <v>456</v>
      </c>
      <c r="S2" s="442"/>
      <c r="T2" s="442"/>
      <c r="U2" s="350" t="s">
        <v>454</v>
      </c>
      <c r="AB2" s="350" t="s">
        <v>455</v>
      </c>
      <c r="AS2" s="443"/>
      <c r="AT2" s="443"/>
      <c r="AU2" s="443"/>
      <c r="AV2" s="443"/>
      <c r="AW2" s="443"/>
      <c r="AX2" s="443"/>
    </row>
    <row r="3" spans="1:50" ht="14.45" customHeight="1" thickBot="1" x14ac:dyDescent="0.25">
      <c r="A3" s="355"/>
      <c r="D3" s="356"/>
      <c r="E3" s="357"/>
      <c r="F3" s="358"/>
      <c r="K3" s="846" t="str">
        <f>IF(OR(D7&gt;250000,E7&gt;250000,F7&gt;250000,G7&gt;250000,H7&gt;250000),"- Direct Costs less Consortium is over $250,000 in one or more years.","")</f>
        <v/>
      </c>
      <c r="L3" s="846"/>
      <c r="M3" s="846"/>
      <c r="N3" s="846"/>
      <c r="O3" s="846"/>
      <c r="P3" s="846"/>
      <c r="Q3" s="846"/>
      <c r="R3" s="846"/>
      <c r="S3" s="442"/>
      <c r="T3" s="442"/>
      <c r="U3" s="350" t="s">
        <v>35</v>
      </c>
      <c r="V3" s="350" t="s">
        <v>36</v>
      </c>
      <c r="W3" s="350" t="s">
        <v>37</v>
      </c>
      <c r="X3" s="350" t="s">
        <v>38</v>
      </c>
      <c r="Y3" s="350" t="s">
        <v>39</v>
      </c>
      <c r="AB3" s="350" t="s">
        <v>35</v>
      </c>
      <c r="AC3" s="350" t="s">
        <v>36</v>
      </c>
      <c r="AD3" s="350" t="s">
        <v>37</v>
      </c>
      <c r="AE3" s="350" t="s">
        <v>38</v>
      </c>
      <c r="AF3" s="350" t="s">
        <v>39</v>
      </c>
      <c r="AS3" s="443"/>
      <c r="AT3" s="443"/>
      <c r="AU3" s="443"/>
      <c r="AV3" s="443"/>
      <c r="AW3" s="443"/>
      <c r="AX3" s="443"/>
    </row>
    <row r="4" spans="1:50" ht="14.45" customHeight="1" thickBot="1" x14ac:dyDescent="0.25">
      <c r="A4" s="355"/>
      <c r="C4" s="359" t="s">
        <v>447</v>
      </c>
      <c r="D4" s="360">
        <f>D7/25000</f>
        <v>0</v>
      </c>
      <c r="E4" s="360">
        <f>IF('Personnel Yr 1'!J5&gt;1,E7/25000,0)</f>
        <v>0</v>
      </c>
      <c r="F4" s="360">
        <f>IF('Personnel Yr 1'!J5&gt;2,F7/25000,0)</f>
        <v>0</v>
      </c>
      <c r="G4" s="360">
        <f>IF('Personnel Yr 1'!J5&gt;3,G7/25000,0)</f>
        <v>0</v>
      </c>
      <c r="H4" s="360">
        <f>IF('Personnel Yr 1'!J5&gt;4,H7/25000,0)</f>
        <v>0</v>
      </c>
      <c r="I4" s="361">
        <f>SUM(D4:H4)</f>
        <v>0</v>
      </c>
      <c r="K4" s="845" t="str">
        <f>IF(COUNTIF(AG4:AG26,TRUE),"- An investigator has a base salary over $" &amp; NIHSalaryCap &amp; " for calandar appointments or $" &amp; ROUND((NIHSalaryCap*8.5)/12,0) &amp; " for academic appointments.","")</f>
        <v/>
      </c>
      <c r="L4" s="845"/>
      <c r="M4" s="845"/>
      <c r="N4" s="845"/>
      <c r="O4" s="845"/>
      <c r="P4" s="845"/>
      <c r="Q4" s="845"/>
      <c r="R4" s="845"/>
      <c r="S4" s="442"/>
      <c r="T4" s="442"/>
      <c r="U4" s="350" t="b">
        <f>IF('Personnel Yr 1'!$N$5="Federal - NIH",SUM('Non-personnel'!$H$41,'Personnel Yr 1'!$N$23)/IF(OR(ISBLANK('Personnel Yr 1'!$B$23),NOT(ISNUMBER('Personnel Yr 1'!$B$23))),1,'Personnel Yr 1'!$B$23)&gt;NIHGradLimit)</f>
        <v>0</v>
      </c>
      <c r="V4" s="350" t="b">
        <f>IF('Personnel Yr 1'!$N$5="Federal - NIH",SUM('Non-personnel'!$H$41,'Personnel Yr 2'!N23)/IF(OR(ISBLANK('Personnel Yr 2'!B23),NOT(ISNUMBER('Personnel Yr 2'!B23))),1,'Personnel Yr 2'!B23)&gt;NIHGradLimit)</f>
        <v>0</v>
      </c>
      <c r="W4" s="362" t="b">
        <f>IF('Personnel Yr 1'!N5="Federal - NIH",SUM('Non-personnel'!$L$41,'Personnel Yr 3'!N23)/IF(OR(ISBLANK('Personnel Yr 3'!B23),NOT(ISNUMBER('Personnel Yr 3'!B23))),1,'Personnel Yr 3'!B23)&gt;NIHGradLimit)</f>
        <v>0</v>
      </c>
      <c r="X4" s="362" t="b">
        <f>IF('Personnel Yr 1'!N5="Federal - NIH",SUM('Non-personnel'!$N$41,'Personnel Yr 4'!N23)/IF(OR(ISBLANK('Personnel Yr 4'!B23),NOT(ISNUMBER('Personnel Yr 4'!B23))),1,'Personnel Yr 4'!B23)&gt;NIHGradLimit)</f>
        <v>0</v>
      </c>
      <c r="Y4" s="362" t="b">
        <f>IF('Personnel Yr 1'!N5="Federal - NIH",SUM('Non-personnel'!$P$41,'Personnel Yr 5'!N23)/IF(OR(ISBLANK('Personnel Yr 5'!B23),NOT(ISNUMBER('Personnel Yr 5'!B23))),1,'Personnel Yr 5'!B23)&gt;NIHGradLimit)</f>
        <v>0</v>
      </c>
      <c r="Z4" s="362" t="str">
        <f>IF(COUNTIF(U4:Y4,TRUE)&gt;0,"Bad","Good")</f>
        <v>Good</v>
      </c>
      <c r="AA4" s="362"/>
      <c r="AB4" s="350" t="b">
        <f>IF(OR('Personnel Yr 1'!$N$5&lt;&gt;"Federal - NIH",OR(AND(ISBLANK('Personnel Yr 1'!I7),ISBLANK('Personnel Yr 1'!J7),ISBLANK('Personnel Yr 1'!K7)),AND('Personnel Yr 1'!I7="",'Personnel Yr 1'!J7="",'Personnel Yr 1'!K7=""))),FALSE,IF('Personnel Yr 1'!I7&gt;0,'Personnel Yr 1'!H7&gt;NIHSalaryCap,'Personnel Yr 1'!H7&gt;(NIHSalaryCap*8.5)/12))</f>
        <v>0</v>
      </c>
      <c r="AC4" s="350" t="b">
        <f>IF('Personnel Yr 1'!$J$5&gt;1,IF(OR('Personnel Yr 1'!$N$5&lt;&gt;"Federal - NIH",OR(AND(ISBLANK('Personnel Yr 2'!I7),ISBLANK('Personnel Yr 2'!J7),ISBLANK('Personnel Yr 2'!K7)),AND('Personnel Yr 2'!I7="",'Personnel Yr 2'!J7="",'Personnel Yr 2'!K7=""))),FALSE,IF('Personnel Yr 2'!I7&gt;0,'Personnel Yr 2'!H7&gt;NIHSalaryCap,'Personnel Yr 2'!H7&gt;(NIHSalaryCap*8.5)/12)),FALSE)</f>
        <v>0</v>
      </c>
      <c r="AD4" s="350" t="b">
        <f>'Personnel Yr 3'!Y7</f>
        <v>0</v>
      </c>
      <c r="AE4" s="350" t="b">
        <f>'Personnel Yr 4'!Y7</f>
        <v>0</v>
      </c>
      <c r="AF4" s="350" t="b">
        <f>'Personnel Yr 5'!Y7</f>
        <v>0</v>
      </c>
      <c r="AG4" s="350" t="b">
        <f>COUNTIF(AB4:AF4,TRUE)&gt;0</f>
        <v>0</v>
      </c>
      <c r="AH4" s="350" t="str">
        <f>IF(COUNTIF(AG4:AG26,TRUE),"An investigator has a base salary over$" &amp; NIHSalaryCap &amp; " for calandar appointments or $" &amp; ROUND((NIHSalaryCap*8.5)/12,0) &amp; " for academic appointments.","")</f>
        <v/>
      </c>
      <c r="AS4" s="443"/>
      <c r="AT4" s="443"/>
      <c r="AU4" s="443"/>
      <c r="AV4" s="443"/>
      <c r="AW4" s="443"/>
      <c r="AX4" s="443"/>
    </row>
    <row r="5" spans="1:50" ht="14.45" customHeight="1" thickBot="1" x14ac:dyDescent="0.25">
      <c r="B5" s="351"/>
      <c r="C5" s="363"/>
      <c r="D5" s="364" t="s">
        <v>35</v>
      </c>
      <c r="E5" s="352" t="s">
        <v>36</v>
      </c>
      <c r="F5" s="352" t="s">
        <v>37</v>
      </c>
      <c r="G5" s="352" t="s">
        <v>38</v>
      </c>
      <c r="H5" s="352" t="s">
        <v>39</v>
      </c>
      <c r="I5" s="352" t="s">
        <v>40</v>
      </c>
      <c r="K5" s="845"/>
      <c r="L5" s="845"/>
      <c r="M5" s="845"/>
      <c r="N5" s="845"/>
      <c r="O5" s="845"/>
      <c r="P5" s="845"/>
      <c r="Q5" s="845"/>
      <c r="R5" s="845"/>
      <c r="S5" s="442"/>
      <c r="T5" s="442"/>
      <c r="W5" s="362"/>
      <c r="X5" s="362"/>
      <c r="Y5" s="362"/>
      <c r="Z5" s="362"/>
      <c r="AA5" s="362"/>
      <c r="AB5" s="350" t="b">
        <f>IF(OR('Personnel Yr 1'!$N$5&lt;&gt;"Federal - NIH",OR(AND(ISBLANK('Personnel Yr 1'!I8),ISBLANK('Personnel Yr 1'!J8),ISBLANK('Personnel Yr 1'!K8)),AND('Personnel Yr 1'!I8="",'Personnel Yr 1'!J8="",'Personnel Yr 1'!K8=""))),FALSE,IF('Personnel Yr 1'!I8&gt;0,'Personnel Yr 1'!H8&gt;NIHSalaryCap,'Personnel Yr 1'!H8&gt;(NIHSalaryCap*8.5)/12))</f>
        <v>0</v>
      </c>
      <c r="AC5" s="350" t="b">
        <f>IF('Personnel Yr 1'!$J$5&gt;1,IF(OR('Personnel Yr 1'!$N$5&lt;&gt;"Federal - NIH",OR(AND(ISBLANK('Personnel Yr 2'!I8),ISBLANK('Personnel Yr 2'!J8),ISBLANK('Personnel Yr 2'!K8)),AND('Personnel Yr 2'!I8="",'Personnel Yr 2'!J8="",'Personnel Yr 2'!K8=""))),FALSE,IF('Personnel Yr 2'!I8&gt;0,'Personnel Yr 2'!H8&gt;NIHSalaryCap,'Personnel Yr 2'!H8&gt;(NIHSalaryCap*8.5)/12)),FALSE)</f>
        <v>0</v>
      </c>
      <c r="AD5" s="350" t="b">
        <f>'Personnel Yr 3'!Y8</f>
        <v>0</v>
      </c>
      <c r="AE5" s="350" t="b">
        <f>'Personnel Yr 4'!Y8</f>
        <v>0</v>
      </c>
      <c r="AF5" s="350" t="b">
        <f>'Personnel Yr 5'!Y8</f>
        <v>0</v>
      </c>
      <c r="AG5" s="350" t="b">
        <f>COUNTIF(AB5:AF5,TRUE)&gt;0</f>
        <v>0</v>
      </c>
      <c r="AS5" s="443"/>
      <c r="AT5" s="443"/>
      <c r="AU5" s="443"/>
      <c r="AV5" s="443"/>
      <c r="AW5" s="443"/>
      <c r="AX5" s="443"/>
    </row>
    <row r="6" spans="1:50" ht="14.45" customHeight="1" x14ac:dyDescent="0.2">
      <c r="A6" s="352" t="s">
        <v>446</v>
      </c>
      <c r="B6" s="351"/>
      <c r="C6" s="363"/>
      <c r="D6" s="853" t="s">
        <v>438</v>
      </c>
      <c r="E6" s="854"/>
      <c r="F6" s="854"/>
      <c r="G6" s="854"/>
      <c r="H6" s="854"/>
      <c r="I6" s="855"/>
      <c r="K6" s="847" t="str">
        <f>IF(COUNTIF(U4:Y4,TRUE)&gt;0,"- Graduate Student Compensation potentially exceeds NIH cap of $"  &amp; NIHGradLimit &amp; "/student.  Please note: NIH Graduate Student Componsation Cap equals Salary + Fringe Benefits + any Tuition Needs requested.","")</f>
        <v/>
      </c>
      <c r="L6" s="847"/>
      <c r="M6" s="847"/>
      <c r="N6" s="847"/>
      <c r="O6" s="847"/>
      <c r="P6" s="847"/>
      <c r="Q6" s="847"/>
      <c r="R6" s="847"/>
      <c r="S6" s="442"/>
      <c r="T6" s="442"/>
      <c r="W6" s="362"/>
      <c r="X6" s="362"/>
      <c r="Y6" s="362"/>
      <c r="Z6" s="362"/>
      <c r="AA6" s="362"/>
      <c r="AB6" s="350" t="b">
        <f>IF(OR('Personnel Yr 1'!$N$5&lt;&gt;"Federal - NIH",OR(AND(ISBLANK('Personnel Yr 1'!I9),ISBLANK('Personnel Yr 1'!J9),ISBLANK('Personnel Yr 1'!K9)),AND('Personnel Yr 1'!I9="",'Personnel Yr 1'!J9="",'Personnel Yr 1'!K9=""))),FALSE,IF('Personnel Yr 1'!I9&gt;0,'Personnel Yr 1'!H9&gt;NIHSalaryCap,'Personnel Yr 1'!H9&gt;(NIHSalaryCap*8.5)/12))</f>
        <v>0</v>
      </c>
      <c r="AC6" s="350" t="b">
        <f>IF('Personnel Yr 1'!$J$5&gt;1,IF(OR('Personnel Yr 1'!$N$5&lt;&gt;"Federal - NIH",OR(AND(ISBLANK('Personnel Yr 2'!I9),ISBLANK('Personnel Yr 2'!J9),ISBLANK('Personnel Yr 2'!K9)),AND('Personnel Yr 2'!I9="",'Personnel Yr 2'!J9="",'Personnel Yr 2'!K9=""))),FALSE,IF('Personnel Yr 2'!I9&gt;0,'Personnel Yr 2'!H9&gt;NIHSalaryCap,'Personnel Yr 2'!H9&gt;(NIHSalaryCap*8.5)/12)),FALSE)</f>
        <v>0</v>
      </c>
      <c r="AD6" s="350" t="b">
        <f>'Personnel Yr 3'!Y9</f>
        <v>0</v>
      </c>
      <c r="AE6" s="350" t="b">
        <f>'Personnel Yr 4'!Y9</f>
        <v>0</v>
      </c>
      <c r="AF6" s="350" t="b">
        <f>'Personnel Yr 5'!Y9</f>
        <v>0</v>
      </c>
      <c r="AG6" s="350" t="b">
        <f t="shared" ref="AG6:AG26" si="0">COUNTIF(AB6:AF6,TRUE)&gt;0</f>
        <v>0</v>
      </c>
      <c r="AS6" s="443"/>
      <c r="AT6" s="443"/>
      <c r="AU6" s="443"/>
      <c r="AV6" s="443"/>
      <c r="AW6" s="443"/>
      <c r="AX6" s="443"/>
    </row>
    <row r="7" spans="1:50" ht="14.45" customHeight="1" x14ac:dyDescent="0.2">
      <c r="C7" s="365" t="s">
        <v>445</v>
      </c>
      <c r="D7" s="366">
        <f>ROUND((('Non-personnel'!R52-'Non-personnel'!S90)/IF('Personnel Yr 1'!J5=0,1,'Personnel Yr 1'!J5))/25000,0)*25000</f>
        <v>0</v>
      </c>
      <c r="E7" s="367">
        <f>IF('Personnel Yr 1'!J5&gt;1,(ROUND((('Non-personnel'!R52-'Non-personnel'!S90)/'Personnel Yr 1'!J5)/25000,0)*25000),0)</f>
        <v>0</v>
      </c>
      <c r="F7" s="367">
        <f>IF('Personnel Yr 1'!J5&gt;2,(ROUND((('Non-personnel'!R52-'Non-personnel'!S90)/'Personnel Yr 1'!J5)/25000,0)*25000),0)</f>
        <v>0</v>
      </c>
      <c r="G7" s="367">
        <f>IF('Personnel Yr 1'!J5&gt;3,(ROUND((('Non-personnel'!R52-'Non-personnel'!S90)/'Personnel Yr 1'!J5)/25000,0)*25000),0)</f>
        <v>0</v>
      </c>
      <c r="H7" s="367">
        <f>IF('Personnel Yr 1'!J5&gt;4,(ROUND((('Non-personnel'!R52-'Non-personnel'!S90)/'Personnel Yr 1'!J5)/25000,0)*25000),0)</f>
        <v>0</v>
      </c>
      <c r="I7" s="368">
        <f>SUM(D7:H7)</f>
        <v>0</v>
      </c>
      <c r="J7" s="356"/>
      <c r="K7" s="847"/>
      <c r="L7" s="847"/>
      <c r="M7" s="847"/>
      <c r="N7" s="847"/>
      <c r="O7" s="847"/>
      <c r="P7" s="847"/>
      <c r="Q7" s="847"/>
      <c r="R7" s="847"/>
      <c r="S7" s="442"/>
      <c r="T7" s="442"/>
      <c r="W7" s="362"/>
      <c r="X7" s="362"/>
      <c r="Y7" s="362"/>
      <c r="Z7" s="362"/>
      <c r="AA7" s="362"/>
      <c r="AB7" s="350" t="b">
        <f>IF(OR('Personnel Yr 1'!$N$5&lt;&gt;"Federal - NIH",OR(AND(ISBLANK('Personnel Yr 1'!I10),ISBLANK('Personnel Yr 1'!J10),ISBLANK('Personnel Yr 1'!K10)),AND('Personnel Yr 1'!I10="",'Personnel Yr 1'!J10="",'Personnel Yr 1'!K10=""))),FALSE,IF('Personnel Yr 1'!I10&gt;0,'Personnel Yr 1'!H10&gt;NIHSalaryCap,'Personnel Yr 1'!H10&gt;(NIHSalaryCap*8.5)/12))</f>
        <v>0</v>
      </c>
      <c r="AC7" s="350" t="b">
        <f>IF('Personnel Yr 1'!$J$5&gt;1,IF(OR('Personnel Yr 1'!$N$5&lt;&gt;"Federal - NIH",OR(AND(ISBLANK('Personnel Yr 2'!I10),ISBLANK('Personnel Yr 2'!J10),ISBLANK('Personnel Yr 2'!K10)),AND('Personnel Yr 2'!I10="",'Personnel Yr 2'!J10="",'Personnel Yr 2'!K10=""))),FALSE,IF('Personnel Yr 2'!I10&gt;0,'Personnel Yr 2'!H10&gt;NIHSalaryCap,'Personnel Yr 2'!H10&gt;(NIHSalaryCap*8.5)/12)),FALSE)</f>
        <v>0</v>
      </c>
      <c r="AD7" s="350" t="b">
        <f>'Personnel Yr 3'!Y10</f>
        <v>0</v>
      </c>
      <c r="AE7" s="350" t="b">
        <f>'Personnel Yr 4'!Y10</f>
        <v>0</v>
      </c>
      <c r="AF7" s="350" t="b">
        <f>'Personnel Yr 5'!Y10</f>
        <v>0</v>
      </c>
      <c r="AG7" s="350" t="b">
        <f t="shared" si="0"/>
        <v>0</v>
      </c>
      <c r="AS7" s="443"/>
      <c r="AT7" s="443"/>
      <c r="AU7" s="443"/>
      <c r="AV7" s="443"/>
      <c r="AW7" s="443"/>
      <c r="AX7" s="443"/>
    </row>
    <row r="8" spans="1:50" ht="14.45" customHeight="1" x14ac:dyDescent="0.2">
      <c r="C8" s="365" t="s">
        <v>444</v>
      </c>
      <c r="D8" s="366">
        <f>'Non-personnel'!I90</f>
        <v>0</v>
      </c>
      <c r="E8" s="367">
        <f>'Non-personnel'!K90</f>
        <v>0</v>
      </c>
      <c r="F8" s="367">
        <f>'Non-personnel'!M90</f>
        <v>0</v>
      </c>
      <c r="G8" s="367">
        <f>'Non-personnel'!O90</f>
        <v>0</v>
      </c>
      <c r="H8" s="367">
        <f>'Non-personnel'!Q90</f>
        <v>0</v>
      </c>
      <c r="I8" s="368">
        <f>SUM(D8:H8)</f>
        <v>0</v>
      </c>
      <c r="K8" s="847"/>
      <c r="L8" s="847"/>
      <c r="M8" s="847"/>
      <c r="N8" s="847"/>
      <c r="O8" s="847"/>
      <c r="P8" s="847"/>
      <c r="Q8" s="847"/>
      <c r="R8" s="847"/>
      <c r="S8" s="442"/>
      <c r="T8" s="442"/>
      <c r="W8" s="362"/>
      <c r="X8" s="362"/>
      <c r="Y8" s="362"/>
      <c r="Z8" s="362"/>
      <c r="AA8" s="362"/>
      <c r="AB8" s="350" t="b">
        <f>IF(OR('Personnel Yr 1'!$N$5&lt;&gt;"Federal - NIH",OR(AND(ISBLANK('Personnel Yr 1'!I11),ISBLANK('Personnel Yr 1'!J11),ISBLANK('Personnel Yr 1'!K11)),AND('Personnel Yr 1'!I11="",'Personnel Yr 1'!J11="",'Personnel Yr 1'!K11=""))),FALSE,IF('Personnel Yr 1'!I11&gt;0,'Personnel Yr 1'!H11&gt;NIHSalaryCap,'Personnel Yr 1'!H11&gt;(NIHSalaryCap*8.5)/12))</f>
        <v>0</v>
      </c>
      <c r="AC8" s="350" t="b">
        <f>IF('Personnel Yr 1'!$J$5&gt;1,IF(OR('Personnel Yr 1'!$N$5&lt;&gt;"Federal - NIH",OR(AND(ISBLANK('Personnel Yr 2'!I11),ISBLANK('Personnel Yr 2'!J11),ISBLANK('Personnel Yr 2'!K11)),AND('Personnel Yr 2'!I11="",'Personnel Yr 2'!J11="",'Personnel Yr 2'!K11=""))),FALSE,IF('Personnel Yr 2'!I11&gt;0,'Personnel Yr 2'!H11&gt;NIHSalaryCap,'Personnel Yr 2'!H11&gt;(NIHSalaryCap*8.5)/12)),FALSE)</f>
        <v>0</v>
      </c>
      <c r="AD8" s="350" t="b">
        <f>'Personnel Yr 3'!Y11</f>
        <v>0</v>
      </c>
      <c r="AE8" s="350" t="b">
        <f>'Personnel Yr 4'!Y11</f>
        <v>0</v>
      </c>
      <c r="AF8" s="350" t="b">
        <f>'Personnel Yr 5'!Y11</f>
        <v>0</v>
      </c>
      <c r="AG8" s="350" t="b">
        <f t="shared" si="0"/>
        <v>0</v>
      </c>
      <c r="AS8" s="443"/>
      <c r="AT8" s="443"/>
      <c r="AU8" s="443"/>
      <c r="AV8" s="443"/>
      <c r="AW8" s="443"/>
      <c r="AX8" s="443"/>
    </row>
    <row r="9" spans="1:50" ht="14.45" customHeight="1" x14ac:dyDescent="0.2">
      <c r="C9" s="365" t="s">
        <v>443</v>
      </c>
      <c r="D9" s="366">
        <f>SUM(D7:D8)</f>
        <v>0</v>
      </c>
      <c r="E9" s="367">
        <f>SUM(E7:E8)</f>
        <v>0</v>
      </c>
      <c r="F9" s="367">
        <f>SUM(F7:F8)</f>
        <v>0</v>
      </c>
      <c r="G9" s="367">
        <f>SUM(G7:G8)</f>
        <v>0</v>
      </c>
      <c r="H9" s="367">
        <f>SUM(H7:H8)</f>
        <v>0</v>
      </c>
      <c r="I9" s="368">
        <f>SUM(D9:H9)</f>
        <v>0</v>
      </c>
      <c r="S9" s="442"/>
      <c r="T9" s="442"/>
      <c r="W9" s="362"/>
      <c r="X9" s="362"/>
      <c r="Y9" s="362"/>
      <c r="Z9" s="362"/>
      <c r="AA9" s="362"/>
      <c r="AB9" s="350" t="b">
        <f>IF(OR('Personnel Yr 1'!$N$5&lt;&gt;"Federal - NIH",OR(AND(ISBLANK('Personnel Yr 1'!I12),ISBLANK('Personnel Yr 1'!J12),ISBLANK('Personnel Yr 1'!K12)),AND('Personnel Yr 1'!I12="",'Personnel Yr 1'!J12="",'Personnel Yr 1'!K12=""))),FALSE,IF('Personnel Yr 1'!I12&gt;0,'Personnel Yr 1'!H12&gt;NIHSalaryCap,'Personnel Yr 1'!H12&gt;(NIHSalaryCap*8.5)/12))</f>
        <v>0</v>
      </c>
      <c r="AC9" s="350" t="b">
        <f>IF('Personnel Yr 1'!$J$5&gt;1,IF(OR('Personnel Yr 1'!$N$5&lt;&gt;"Federal - NIH",OR(AND(ISBLANK('Personnel Yr 2'!I12),ISBLANK('Personnel Yr 2'!J12),ISBLANK('Personnel Yr 2'!K12)),AND('Personnel Yr 2'!I12="",'Personnel Yr 2'!J12="",'Personnel Yr 2'!K12=""))),FALSE,IF('Personnel Yr 2'!I12&gt;0,'Personnel Yr 2'!H12&gt;NIHSalaryCap,'Personnel Yr 2'!H12&gt;(NIHSalaryCap*8.5)/12)),FALSE)</f>
        <v>0</v>
      </c>
      <c r="AD9" s="350" t="b">
        <f>'Personnel Yr 3'!Y12</f>
        <v>0</v>
      </c>
      <c r="AE9" s="350" t="b">
        <f>'Personnel Yr 4'!Y12</f>
        <v>0</v>
      </c>
      <c r="AF9" s="350" t="b">
        <f>'Personnel Yr 5'!Y12</f>
        <v>0</v>
      </c>
      <c r="AG9" s="350" t="b">
        <f t="shared" si="0"/>
        <v>0</v>
      </c>
      <c r="AS9" s="443"/>
      <c r="AT9" s="443"/>
      <c r="AU9" s="443"/>
      <c r="AV9" s="443"/>
      <c r="AW9" s="443"/>
      <c r="AX9" s="443"/>
    </row>
    <row r="10" spans="1:50" ht="14.45" customHeight="1" x14ac:dyDescent="0.2">
      <c r="A10" s="352" t="s">
        <v>442</v>
      </c>
      <c r="C10" s="365"/>
      <c r="D10" s="366"/>
      <c r="E10" s="367"/>
      <c r="F10" s="367"/>
      <c r="G10" s="367"/>
      <c r="H10" s="367"/>
      <c r="I10" s="368"/>
      <c r="S10" s="442"/>
      <c r="T10" s="442"/>
      <c r="W10" s="362"/>
      <c r="X10" s="362"/>
      <c r="Y10" s="362"/>
      <c r="Z10" s="362"/>
      <c r="AA10" s="362"/>
      <c r="AB10" s="350" t="b">
        <f>IF(OR('Personnel Yr 1'!$N$5&lt;&gt;"Federal - NIH",OR(AND(ISBLANK('Personnel Yr 1'!I13),ISBLANK('Personnel Yr 1'!J13),ISBLANK('Personnel Yr 1'!K13)),AND('Personnel Yr 1'!I13="",'Personnel Yr 1'!J13="",'Personnel Yr 1'!K13=""))),FALSE,IF('Personnel Yr 1'!I13&gt;0,'Personnel Yr 1'!H13&gt;NIHSalaryCap,'Personnel Yr 1'!H13&gt;(NIHSalaryCap*8.5)/12))</f>
        <v>0</v>
      </c>
      <c r="AC10" s="350" t="b">
        <f>IF('Personnel Yr 1'!$J$5&gt;1,IF(OR('Personnel Yr 1'!$N$5&lt;&gt;"Federal - NIH",OR(AND(ISBLANK('Personnel Yr 2'!I13),ISBLANK('Personnel Yr 2'!J13),ISBLANK('Personnel Yr 2'!K13)),AND('Personnel Yr 2'!I13="",'Personnel Yr 2'!J13="",'Personnel Yr 2'!K13=""))),FALSE,IF('Personnel Yr 2'!I13&gt;0,'Personnel Yr 2'!H13&gt;NIHSalaryCap,'Personnel Yr 2'!H13&gt;(NIHSalaryCap*8.5)/12)),FALSE)</f>
        <v>0</v>
      </c>
      <c r="AD10" s="350" t="b">
        <f>'Personnel Yr 3'!Y13</f>
        <v>0</v>
      </c>
      <c r="AE10" s="350" t="b">
        <f>'Personnel Yr 4'!Y13</f>
        <v>0</v>
      </c>
      <c r="AF10" s="350" t="b">
        <f>'Personnel Yr 5'!Y13</f>
        <v>0</v>
      </c>
      <c r="AG10" s="350" t="b">
        <f t="shared" si="0"/>
        <v>0</v>
      </c>
      <c r="AS10" s="443"/>
      <c r="AT10" s="443"/>
      <c r="AU10" s="443"/>
      <c r="AV10" s="443"/>
      <c r="AW10" s="443"/>
      <c r="AX10" s="443"/>
    </row>
    <row r="11" spans="1:50" ht="14.45" customHeight="1" x14ac:dyDescent="0.2">
      <c r="C11" s="369" t="s">
        <v>441</v>
      </c>
      <c r="D11" s="370" t="str">
        <f>'Non-personnel'!B57</f>
        <v>MTDC-NonFed</v>
      </c>
      <c r="E11" s="371" t="str">
        <f>'Non-personnel'!B58</f>
        <v>MTDC-NonFed</v>
      </c>
      <c r="F11" s="371" t="str">
        <f>'Non-personnel'!B59</f>
        <v>MTDC-NonFed</v>
      </c>
      <c r="G11" s="371" t="str">
        <f>'Non-personnel'!B60</f>
        <v>MTDC-NonFed</v>
      </c>
      <c r="H11" s="371" t="str">
        <f>'Non-personnel'!B61</f>
        <v>MTDC-NonFed</v>
      </c>
      <c r="I11" s="368"/>
      <c r="S11" s="442"/>
      <c r="T11" s="442"/>
      <c r="W11" s="362"/>
      <c r="X11" s="362"/>
      <c r="Y11" s="362"/>
      <c r="Z11" s="362"/>
      <c r="AA11" s="362"/>
      <c r="AB11" s="350" t="b">
        <f>IF(OR('Personnel Yr 1'!$N$5&lt;&gt;"Federal - NIH",OR(AND(ISBLANK('Personnel Yr 1'!I14),ISBLANK('Personnel Yr 1'!J14),ISBLANK('Personnel Yr 1'!K14)),AND('Personnel Yr 1'!I14="",'Personnel Yr 1'!J14="",'Personnel Yr 1'!K14=""))),FALSE,IF('Personnel Yr 1'!I14&gt;0,'Personnel Yr 1'!H14&gt;NIHSalaryCap,'Personnel Yr 1'!H14&gt;(NIHSalaryCap*8.5)/12))</f>
        <v>0</v>
      </c>
      <c r="AC11" s="350" t="b">
        <f>IF('Personnel Yr 1'!$J$5&gt;1,IF(OR('Personnel Yr 1'!$N$5&lt;&gt;"Federal - NIH",OR(AND(ISBLANK('Personnel Yr 2'!I14),ISBLANK('Personnel Yr 2'!J14),ISBLANK('Personnel Yr 2'!K14)),AND('Personnel Yr 2'!I14="",'Personnel Yr 2'!J14="",'Personnel Yr 2'!K14=""))),FALSE,IF('Personnel Yr 2'!I14&gt;0,'Personnel Yr 2'!H14&gt;NIHSalaryCap,'Personnel Yr 2'!H14&gt;(NIHSalaryCap*8.5)/12)),FALSE)</f>
        <v>0</v>
      </c>
      <c r="AD11" s="350" t="b">
        <f>'Personnel Yr 3'!Y14</f>
        <v>0</v>
      </c>
      <c r="AE11" s="350" t="b">
        <f>'Personnel Yr 4'!Y14</f>
        <v>0</v>
      </c>
      <c r="AF11" s="350" t="b">
        <f>'Personnel Yr 5'!Y14</f>
        <v>0</v>
      </c>
      <c r="AG11" s="350" t="b">
        <f t="shared" si="0"/>
        <v>0</v>
      </c>
      <c r="AS11" s="443"/>
      <c r="AT11" s="443"/>
      <c r="AU11" s="443"/>
      <c r="AV11" s="443"/>
      <c r="AW11" s="443"/>
      <c r="AX11" s="443"/>
    </row>
    <row r="12" spans="1:50" ht="14.45" customHeight="1" x14ac:dyDescent="0.2">
      <c r="C12" s="359" t="s">
        <v>440</v>
      </c>
      <c r="D12" s="372">
        <f>IFERROR(LOOKUP('Non-personnel'!C57,IDCDesc,IDCRate),'Non-personnel'!C57)</f>
        <v>0</v>
      </c>
      <c r="E12" s="373">
        <f>IFERROR(LOOKUP('Non-personnel'!C58,IDCDesc,IDCRate),'Non-personnel'!C58)</f>
        <v>0</v>
      </c>
      <c r="F12" s="373">
        <f>IFERROR(LOOKUP('Non-personnel'!C59,IDCDesc,IDCRate),'Non-personnel'!C59)</f>
        <v>0</v>
      </c>
      <c r="G12" s="373">
        <f>IFERROR(LOOKUP('Non-personnel'!C60,IDCDesc,IDCRate),'Non-personnel'!C60)</f>
        <v>0</v>
      </c>
      <c r="H12" s="373">
        <f>IFERROR(LOOKUP('Non-personnel'!C61,IDCDesc,IDCRate),'Non-personnel'!C61)</f>
        <v>0</v>
      </c>
      <c r="I12" s="368"/>
      <c r="S12" s="442"/>
      <c r="T12" s="442"/>
      <c r="W12" s="362"/>
      <c r="X12" s="362"/>
      <c r="Y12" s="362"/>
      <c r="Z12" s="362"/>
      <c r="AA12" s="362"/>
      <c r="AB12" s="350" t="b">
        <f>IF(OR('Personnel Yr 1'!$N$5&lt;&gt;"Federal - NIH",OR(AND(ISBLANK('Personnel Yr 1'!I44),ISBLANK('Personnel Yr 1'!J44),ISBLANK('Personnel Yr 1'!K44)),AND('Personnel Yr 1'!I44="",'Personnel Yr 1'!J44="",'Personnel Yr 1'!K44=""))),FALSE,IF('Personnel Yr 1'!I44&gt;0,'Personnel Yr 1'!H44&gt;NIHSalaryCap,'Personnel Yr 1'!H44&gt;(NIHSalaryCap*8.5)/12))</f>
        <v>0</v>
      </c>
      <c r="AC12" s="350" t="b">
        <f>IF('Personnel Yr 1'!$J$5&gt;1,IF(OR('Personnel Yr 1'!$N$5&lt;&gt;"Federal - NIH",OR(AND(ISBLANK('Personnel Yr 2'!I44),ISBLANK('Personnel Yr 2'!J44),ISBLANK('Personnel Yr 2'!K44)),AND('Personnel Yr 2'!I44="",'Personnel Yr 2'!J44="",'Personnel Yr 2'!K44=""))),FALSE,IF('Personnel Yr 2'!I44&gt;0,'Personnel Yr 2'!H44&gt;NIHSalaryCap,'Personnel Yr 2'!H44&gt;(NIHSalaryCap*8.5)/12)),FALSE)</f>
        <v>0</v>
      </c>
      <c r="AD12" s="350" t="b">
        <f>'Personnel Yr 3'!Y44</f>
        <v>0</v>
      </c>
      <c r="AE12" s="350" t="b">
        <f>'Personnel Yr 4'!Y44</f>
        <v>0</v>
      </c>
      <c r="AF12" s="350" t="b">
        <f>'Personnel Yr 5'!Y44</f>
        <v>0</v>
      </c>
      <c r="AG12" s="350" t="b">
        <f t="shared" si="0"/>
        <v>0</v>
      </c>
      <c r="AS12" s="443"/>
      <c r="AT12" s="443"/>
      <c r="AU12" s="443"/>
      <c r="AV12" s="443"/>
      <c r="AW12" s="443"/>
      <c r="AX12" s="443"/>
    </row>
    <row r="13" spans="1:50" ht="14.45" customHeight="1" x14ac:dyDescent="0.2">
      <c r="C13" s="359" t="s">
        <v>439</v>
      </c>
      <c r="D13" s="370">
        <f>(SUM('Non-personnel'!F57:F61)-'Non-personnel'!R52+I9)/IF('Personnel Yr 1'!J5=0,1,'Personnel Yr 1'!J5)</f>
        <v>0</v>
      </c>
      <c r="E13" s="371">
        <f>IF('Personnel Yr 1'!J5&gt;1,(SUM('Non-personnel'!F57:F61)-'Non-personnel'!R52+I9)/'Personnel Yr 1'!J5,0)</f>
        <v>0</v>
      </c>
      <c r="F13" s="371">
        <f>IF('Personnel Yr 1'!J5&gt;2,(SUM('Non-personnel'!F57:F61)-'Non-personnel'!R52+I9)/'Personnel Yr 1'!J5,0)</f>
        <v>0</v>
      </c>
      <c r="G13" s="371">
        <f>IF('Personnel Yr 1'!J5&gt;3,(SUM('Non-personnel'!F57:F61)-'Non-personnel'!R52+I9)/'Personnel Yr 1'!J5,0)</f>
        <v>0</v>
      </c>
      <c r="H13" s="371">
        <f>IF('Personnel Yr 1'!J5&gt;4,(SUM('Non-personnel'!F57:F61)-'Non-personnel'!R52+I9)/'Personnel Yr 1'!J5,0)</f>
        <v>0</v>
      </c>
      <c r="I13" s="368">
        <f>SUM(D13:H13)</f>
        <v>0</v>
      </c>
      <c r="K13" s="356"/>
      <c r="M13" s="356"/>
      <c r="S13" s="442"/>
      <c r="T13" s="442"/>
      <c r="W13" s="362"/>
      <c r="X13" s="362"/>
      <c r="Y13" s="362"/>
      <c r="Z13" s="362"/>
      <c r="AA13" s="362"/>
      <c r="AB13" s="350" t="b">
        <f>IF(OR('Personnel Yr 1'!$N$5&lt;&gt;"Federal - NIH",OR(AND(ISBLANK('Personnel Yr 1'!I45),ISBLANK('Personnel Yr 1'!J45),ISBLANK('Personnel Yr 1'!K45)),AND('Personnel Yr 1'!I45="",'Personnel Yr 1'!J45="",'Personnel Yr 1'!K45=""))),FALSE,IF('Personnel Yr 1'!I45&gt;0,'Personnel Yr 1'!H45&gt;NIHSalaryCap,'Personnel Yr 1'!H45&gt;(NIHSalaryCap*8.5)/12))</f>
        <v>0</v>
      </c>
      <c r="AC13" s="350" t="b">
        <f>IF('Personnel Yr 1'!$J$5&gt;1,IF(OR('Personnel Yr 1'!$N$5&lt;&gt;"Federal - NIH",OR(AND(ISBLANK('Personnel Yr 2'!I45),ISBLANK('Personnel Yr 2'!J45),ISBLANK('Personnel Yr 2'!K45)),AND('Personnel Yr 2'!I45="",'Personnel Yr 2'!J45="",'Personnel Yr 2'!K45=""))),FALSE,IF('Personnel Yr 2'!I45&gt;0,'Personnel Yr 2'!H45&gt;NIHSalaryCap,'Personnel Yr 2'!H45&gt;(NIHSalaryCap*8.5)/12)),FALSE)</f>
        <v>0</v>
      </c>
      <c r="AD13" s="350" t="b">
        <f>'Personnel Yr 3'!Y45</f>
        <v>0</v>
      </c>
      <c r="AE13" s="350" t="b">
        <f>'Personnel Yr 4'!Y45</f>
        <v>0</v>
      </c>
      <c r="AF13" s="350" t="b">
        <f>'Personnel Yr 5'!Y45</f>
        <v>0</v>
      </c>
      <c r="AG13" s="350" t="b">
        <f t="shared" si="0"/>
        <v>0</v>
      </c>
      <c r="AS13" s="443"/>
      <c r="AT13" s="443"/>
      <c r="AU13" s="443"/>
      <c r="AV13" s="443"/>
      <c r="AW13" s="443"/>
      <c r="AX13" s="443"/>
    </row>
    <row r="14" spans="1:50" ht="14.45" customHeight="1" x14ac:dyDescent="0.2">
      <c r="B14" s="374"/>
      <c r="C14" s="357"/>
      <c r="D14" s="848" t="s">
        <v>438</v>
      </c>
      <c r="E14" s="849"/>
      <c r="F14" s="849"/>
      <c r="G14" s="849"/>
      <c r="H14" s="849"/>
      <c r="I14" s="850"/>
      <c r="M14" s="356"/>
      <c r="S14" s="442"/>
      <c r="T14" s="442"/>
      <c r="W14" s="362"/>
      <c r="X14" s="362"/>
      <c r="Y14" s="362"/>
      <c r="Z14" s="362"/>
      <c r="AA14" s="362"/>
      <c r="AB14" s="350" t="b">
        <f>IF(OR('Personnel Yr 1'!$N$5&lt;&gt;"Federal - NIH",OR(AND(ISBLANK('Personnel Yr 1'!I46),ISBLANK('Personnel Yr 1'!J46),ISBLANK('Personnel Yr 1'!K46)),AND('Personnel Yr 1'!I46="",'Personnel Yr 1'!J46="",'Personnel Yr 1'!K46=""))),FALSE,IF('Personnel Yr 1'!I46&gt;0,'Personnel Yr 1'!H46&gt;NIHSalaryCap,'Personnel Yr 1'!H46&gt;(NIHSalaryCap*8.5)/12))</f>
        <v>0</v>
      </c>
      <c r="AC14" s="350" t="b">
        <f>IF('Personnel Yr 1'!$J$5&gt;1,IF(OR('Personnel Yr 1'!$N$5&lt;&gt;"Federal - NIH",OR(AND(ISBLANK('Personnel Yr 2'!I46),ISBLANK('Personnel Yr 2'!J46),ISBLANK('Personnel Yr 2'!K46)),AND('Personnel Yr 2'!I46="",'Personnel Yr 2'!J46="",'Personnel Yr 2'!K46=""))),FALSE,IF('Personnel Yr 2'!I46&gt;0,'Personnel Yr 2'!H46&gt;NIHSalaryCap,'Personnel Yr 2'!H46&gt;(NIHSalaryCap*8.5)/12)),FALSE)</f>
        <v>0</v>
      </c>
      <c r="AD14" s="350" t="b">
        <f>'Personnel Yr 3'!Y46</f>
        <v>0</v>
      </c>
      <c r="AE14" s="350" t="b">
        <f>'Personnel Yr 4'!Y46</f>
        <v>0</v>
      </c>
      <c r="AF14" s="350" t="b">
        <f>'Personnel Yr 5'!Y46</f>
        <v>0</v>
      </c>
      <c r="AG14" s="350" t="b">
        <f t="shared" si="0"/>
        <v>0</v>
      </c>
      <c r="AS14" s="443"/>
      <c r="AT14" s="443"/>
      <c r="AU14" s="443"/>
      <c r="AV14" s="443"/>
      <c r="AW14" s="443"/>
      <c r="AX14" s="443"/>
    </row>
    <row r="15" spans="1:50" ht="14.45" customHeight="1" x14ac:dyDescent="0.2">
      <c r="B15" s="374"/>
      <c r="C15" s="375" t="s">
        <v>33</v>
      </c>
      <c r="D15" s="366">
        <f>D12*D13</f>
        <v>0</v>
      </c>
      <c r="E15" s="367">
        <f>E12*E13</f>
        <v>0</v>
      </c>
      <c r="F15" s="367">
        <f>F12*F13</f>
        <v>0</v>
      </c>
      <c r="G15" s="367">
        <f>G12*G13</f>
        <v>0</v>
      </c>
      <c r="H15" s="367">
        <f>H12*H13</f>
        <v>0</v>
      </c>
      <c r="I15" s="368">
        <f>SUM(D15:H15)</f>
        <v>0</v>
      </c>
      <c r="S15" s="442"/>
      <c r="T15" s="442"/>
      <c r="W15" s="362"/>
      <c r="X15" s="362"/>
      <c r="Y15" s="362"/>
      <c r="Z15" s="362"/>
      <c r="AA15" s="362"/>
      <c r="AB15" s="350" t="b">
        <f>IF(OR('Personnel Yr 1'!$N$5&lt;&gt;"Federal - NIH",OR(AND(ISBLANK('Personnel Yr 1'!I47),ISBLANK('Personnel Yr 1'!J47),ISBLANK('Personnel Yr 1'!K47)),AND('Personnel Yr 1'!I47="",'Personnel Yr 1'!J47="",'Personnel Yr 1'!K47=""))),FALSE,IF('Personnel Yr 1'!I47&gt;0,'Personnel Yr 1'!H47&gt;NIHSalaryCap,'Personnel Yr 1'!H47&gt;(NIHSalaryCap*8.5)/12))</f>
        <v>0</v>
      </c>
      <c r="AC15" s="350" t="b">
        <f>IF('Personnel Yr 1'!$J$5&gt;1,IF(OR('Personnel Yr 1'!$N$5&lt;&gt;"Federal - NIH",OR(AND(ISBLANK('Personnel Yr 2'!I47),ISBLANK('Personnel Yr 2'!J47),ISBLANK('Personnel Yr 2'!K47)),AND('Personnel Yr 2'!I47="",'Personnel Yr 2'!J47="",'Personnel Yr 2'!K47=""))),FALSE,IF('Personnel Yr 2'!I47&gt;0,'Personnel Yr 2'!H47&gt;NIHSalaryCap,'Personnel Yr 2'!H47&gt;(NIHSalaryCap*8.5)/12)),FALSE)</f>
        <v>0</v>
      </c>
      <c r="AD15" s="350" t="b">
        <f>'Personnel Yr 3'!Y47</f>
        <v>0</v>
      </c>
      <c r="AE15" s="350" t="b">
        <f>'Personnel Yr 4'!Y47</f>
        <v>0</v>
      </c>
      <c r="AF15" s="350" t="b">
        <f>'Personnel Yr 5'!Y47</f>
        <v>0</v>
      </c>
      <c r="AG15" s="350" t="b">
        <f t="shared" si="0"/>
        <v>0</v>
      </c>
      <c r="AS15" s="443"/>
      <c r="AT15" s="443"/>
      <c r="AU15" s="443"/>
      <c r="AV15" s="443"/>
      <c r="AW15" s="443"/>
      <c r="AX15" s="443"/>
    </row>
    <row r="16" spans="1:50" ht="14.45" customHeight="1" x14ac:dyDescent="0.2">
      <c r="C16" s="375"/>
      <c r="D16" s="848" t="s">
        <v>437</v>
      </c>
      <c r="E16" s="849"/>
      <c r="F16" s="849"/>
      <c r="G16" s="849"/>
      <c r="H16" s="849"/>
      <c r="I16" s="850"/>
      <c r="S16" s="442"/>
      <c r="T16" s="442"/>
      <c r="W16" s="362"/>
      <c r="X16" s="362"/>
      <c r="Y16" s="362"/>
      <c r="Z16" s="362"/>
      <c r="AA16" s="362"/>
      <c r="AB16" s="350" t="b">
        <f>IF(OR('Personnel Yr 1'!$N$5&lt;&gt;"Federal - NIH",OR(AND(ISBLANK('Personnel Yr 1'!I48),ISBLANK('Personnel Yr 1'!J48),ISBLANK('Personnel Yr 1'!K48)),AND('Personnel Yr 1'!I48="",'Personnel Yr 1'!J48="",'Personnel Yr 1'!K48=""))),FALSE,IF('Personnel Yr 1'!I48&gt;0,'Personnel Yr 1'!H48&gt;NIHSalaryCap,'Personnel Yr 1'!H48&gt;(NIHSalaryCap*8.5)/12))</f>
        <v>0</v>
      </c>
      <c r="AC16" s="350" t="b">
        <f>IF('Personnel Yr 1'!$J$5&gt;1,IF(OR('Personnel Yr 1'!$N$5&lt;&gt;"Federal - NIH",OR(AND(ISBLANK('Personnel Yr 2'!I48),ISBLANK('Personnel Yr 2'!J48),ISBLANK('Personnel Yr 2'!K48)),AND('Personnel Yr 2'!I48="",'Personnel Yr 2'!J48="",'Personnel Yr 2'!K48=""))),FALSE,IF('Personnel Yr 2'!I48&gt;0,'Personnel Yr 2'!H48&gt;NIHSalaryCap,'Personnel Yr 2'!H48&gt;(NIHSalaryCap*8.5)/12)),FALSE)</f>
        <v>0</v>
      </c>
      <c r="AD16" s="350" t="b">
        <f>'Personnel Yr 3'!Y48</f>
        <v>0</v>
      </c>
      <c r="AE16" s="350" t="b">
        <f>'Personnel Yr 4'!Y48</f>
        <v>0</v>
      </c>
      <c r="AF16" s="350" t="b">
        <f>'Personnel Yr 5'!Y48</f>
        <v>0</v>
      </c>
      <c r="AG16" s="350" t="b">
        <f t="shared" si="0"/>
        <v>0</v>
      </c>
      <c r="AS16" s="443"/>
      <c r="AT16" s="443"/>
      <c r="AU16" s="443"/>
      <c r="AV16" s="443"/>
      <c r="AW16" s="443"/>
      <c r="AX16" s="443"/>
    </row>
    <row r="17" spans="1:50" ht="14.45" customHeight="1" thickBot="1" x14ac:dyDescent="0.25">
      <c r="A17" s="352" t="s">
        <v>436</v>
      </c>
      <c r="C17" s="375"/>
      <c r="D17" s="376">
        <f>SUM(D9,D15)</f>
        <v>0</v>
      </c>
      <c r="E17" s="377">
        <f>SUM(E9,E15)</f>
        <v>0</v>
      </c>
      <c r="F17" s="377">
        <f>SUM(F9,F15)</f>
        <v>0</v>
      </c>
      <c r="G17" s="377">
        <f>SUM(G9,G15)</f>
        <v>0</v>
      </c>
      <c r="H17" s="377">
        <f>SUM(H9,H15)</f>
        <v>0</v>
      </c>
      <c r="I17" s="378">
        <f>SUM(D17:H17)</f>
        <v>0</v>
      </c>
      <c r="S17" s="442"/>
      <c r="T17" s="442"/>
      <c r="W17" s="362"/>
      <c r="X17" s="362"/>
      <c r="Y17" s="362"/>
      <c r="Z17" s="362"/>
      <c r="AA17" s="362"/>
      <c r="AB17" s="350" t="b">
        <f>IF(OR('Personnel Yr 1'!$N$5&lt;&gt;"Federal - NIH",OR(AND(ISBLANK('Personnel Yr 1'!I49),ISBLANK('Personnel Yr 1'!J49),ISBLANK('Personnel Yr 1'!K49)),AND('Personnel Yr 1'!I49="",'Personnel Yr 1'!J49="",'Personnel Yr 1'!K49=""))),FALSE,IF('Personnel Yr 1'!I49&gt;0,'Personnel Yr 1'!H49&gt;NIHSalaryCap,'Personnel Yr 1'!H49&gt;(NIHSalaryCap*8.5)/12))</f>
        <v>0</v>
      </c>
      <c r="AC17" s="350" t="b">
        <f>IF('Personnel Yr 1'!$J$5&gt;1,IF(OR('Personnel Yr 1'!$N$5&lt;&gt;"Federal - NIH",OR(AND(ISBLANK('Personnel Yr 2'!I49),ISBLANK('Personnel Yr 2'!J49),ISBLANK('Personnel Yr 2'!K49)),AND('Personnel Yr 2'!I49="",'Personnel Yr 2'!J49="",'Personnel Yr 2'!K49=""))),FALSE,IF('Personnel Yr 2'!I49&gt;0,'Personnel Yr 2'!H49&gt;NIHSalaryCap,'Personnel Yr 2'!H49&gt;(NIHSalaryCap*8.5)/12)),FALSE)</f>
        <v>0</v>
      </c>
      <c r="AD17" s="350" t="b">
        <f>'Personnel Yr 3'!Y49</f>
        <v>0</v>
      </c>
      <c r="AE17" s="350" t="b">
        <f>'Personnel Yr 4'!Y49</f>
        <v>0</v>
      </c>
      <c r="AF17" s="350" t="b">
        <f>'Personnel Yr 5'!Y49</f>
        <v>0</v>
      </c>
      <c r="AG17" s="350" t="b">
        <f t="shared" si="0"/>
        <v>0</v>
      </c>
      <c r="AS17" s="443"/>
      <c r="AT17" s="443"/>
      <c r="AU17" s="443"/>
      <c r="AV17" s="443"/>
      <c r="AW17" s="443"/>
      <c r="AX17" s="443"/>
    </row>
    <row r="18" spans="1:50" ht="14.45" customHeight="1" thickBot="1" x14ac:dyDescent="0.25">
      <c r="D18" s="379"/>
      <c r="E18" s="380"/>
      <c r="F18" s="380"/>
      <c r="G18" s="379"/>
      <c r="H18" s="379"/>
      <c r="I18" s="379"/>
      <c r="S18" s="442"/>
      <c r="T18" s="442"/>
      <c r="W18" s="362"/>
      <c r="X18" s="362"/>
      <c r="Y18" s="362"/>
      <c r="Z18" s="362"/>
      <c r="AA18" s="362"/>
      <c r="AB18" s="350" t="b">
        <f>IF(OR('Personnel Yr 1'!$N$5&lt;&gt;"Federal - NIH",OR(AND(ISBLANK('Personnel Yr 1'!I50),ISBLANK('Personnel Yr 1'!J50),ISBLANK('Personnel Yr 1'!K50)),AND('Personnel Yr 1'!I50="",'Personnel Yr 1'!J50="",'Personnel Yr 1'!K50=""))),FALSE,IF('Personnel Yr 1'!I50&gt;0,'Personnel Yr 1'!H50&gt;NIHSalaryCap,'Personnel Yr 1'!H50&gt;(NIHSalaryCap*8.5)/12))</f>
        <v>0</v>
      </c>
      <c r="AC18" s="350" t="b">
        <f>IF('Personnel Yr 1'!$J$5&gt;1,IF(OR('Personnel Yr 1'!$N$5&lt;&gt;"Federal - NIH",OR(AND(ISBLANK('Personnel Yr 2'!I50),ISBLANK('Personnel Yr 2'!J50),ISBLANK('Personnel Yr 2'!K50)),AND('Personnel Yr 2'!I50="",'Personnel Yr 2'!J50="",'Personnel Yr 2'!K50=""))),FALSE,IF('Personnel Yr 2'!I50&gt;0,'Personnel Yr 2'!H50&gt;NIHSalaryCap,'Personnel Yr 2'!H50&gt;(NIHSalaryCap*8.5)/12)),FALSE)</f>
        <v>0</v>
      </c>
      <c r="AD18" s="350" t="b">
        <f>'Personnel Yr 3'!Y50</f>
        <v>0</v>
      </c>
      <c r="AE18" s="350" t="b">
        <f>'Personnel Yr 4'!Y50</f>
        <v>0</v>
      </c>
      <c r="AF18" s="350" t="b">
        <f>'Personnel Yr 5'!Y50</f>
        <v>0</v>
      </c>
      <c r="AG18" s="350" t="b">
        <f t="shared" si="0"/>
        <v>0</v>
      </c>
      <c r="AS18" s="443"/>
      <c r="AT18" s="443"/>
      <c r="AU18" s="443"/>
      <c r="AV18" s="443"/>
      <c r="AW18" s="443"/>
      <c r="AX18" s="443"/>
    </row>
    <row r="19" spans="1:50" ht="14.45" customHeight="1" thickBot="1" x14ac:dyDescent="0.25">
      <c r="C19" s="359" t="s">
        <v>435</v>
      </c>
      <c r="D19" s="381">
        <f>ROUNDUP(SUM('Non-personnel'!H90,'Non-personnel'!I90)/1000,0) * 1000</f>
        <v>0</v>
      </c>
      <c r="E19" s="382">
        <f>ROUNDUP(SUM('Non-personnel'!J90,'Non-personnel'!K90)/1000,0)*1000</f>
        <v>0</v>
      </c>
      <c r="F19" s="382">
        <f>ROUNDUP(SUM('Non-personnel'!L90,'Non-personnel'!M90)/1000,0)*1000</f>
        <v>0</v>
      </c>
      <c r="G19" s="382">
        <f>ROUNDUP(SUM('Non-personnel'!N90,'Non-personnel'!O90)/1000,0)*1000</f>
        <v>0</v>
      </c>
      <c r="H19" s="382">
        <f>ROUNDUP(SUM('Non-personnel'!P90,'Non-personnel'!Q90)/1000,0)*1000</f>
        <v>0</v>
      </c>
      <c r="I19" s="383">
        <f>SUM(D19:H19)</f>
        <v>0</v>
      </c>
      <c r="S19" s="442"/>
      <c r="T19" s="442"/>
      <c r="W19" s="362"/>
      <c r="X19" s="362"/>
      <c r="Y19" s="362"/>
      <c r="Z19" s="362"/>
      <c r="AA19" s="362"/>
      <c r="AB19" s="350" t="b">
        <f>IF(OR('Personnel Yr 1'!$N$5&lt;&gt;"Federal - NIH",OR(AND(ISBLANK('Personnel Yr 1'!I51),ISBLANK('Personnel Yr 1'!J51),ISBLANK('Personnel Yr 1'!K51)),AND('Personnel Yr 1'!I51="",'Personnel Yr 1'!J51="",'Personnel Yr 1'!K51=""))),FALSE,IF('Personnel Yr 1'!I51&gt;0,'Personnel Yr 1'!H51&gt;NIHSalaryCap,'Personnel Yr 1'!H51&gt;(NIHSalaryCap*8.5)/12))</f>
        <v>0</v>
      </c>
      <c r="AC19" s="350" t="b">
        <f>IF('Personnel Yr 1'!$J$5&gt;1,IF(OR('Personnel Yr 1'!$N$5&lt;&gt;"Federal - NIH",OR(AND(ISBLANK('Personnel Yr 2'!I51),ISBLANK('Personnel Yr 2'!J51),ISBLANK('Personnel Yr 2'!K51)),AND('Personnel Yr 2'!I51="",'Personnel Yr 2'!J51="",'Personnel Yr 2'!K51=""))),FALSE,IF('Personnel Yr 2'!I51&gt;0,'Personnel Yr 2'!H51&gt;NIHSalaryCap,'Personnel Yr 2'!H51&gt;(NIHSalaryCap*8.5)/12)),FALSE)</f>
        <v>0</v>
      </c>
      <c r="AD19" s="350" t="b">
        <f>'Personnel Yr 3'!Y51</f>
        <v>0</v>
      </c>
      <c r="AE19" s="350" t="b">
        <f>'Personnel Yr 4'!Y51</f>
        <v>0</v>
      </c>
      <c r="AF19" s="350" t="b">
        <f>'Personnel Yr 5'!Y51</f>
        <v>0</v>
      </c>
      <c r="AG19" s="350" t="b">
        <f t="shared" si="0"/>
        <v>0</v>
      </c>
      <c r="AS19" s="443"/>
      <c r="AT19" s="443"/>
      <c r="AU19" s="443"/>
      <c r="AV19" s="443"/>
      <c r="AW19" s="443"/>
      <c r="AX19" s="443"/>
    </row>
    <row r="20" spans="1:50" x14ac:dyDescent="0.2">
      <c r="S20" s="442"/>
      <c r="T20" s="442"/>
      <c r="W20" s="362"/>
      <c r="X20" s="362"/>
      <c r="Y20" s="362"/>
      <c r="Z20" s="362"/>
      <c r="AA20" s="362"/>
      <c r="AB20" s="350" t="b">
        <f>IF(OR('Personnel Yr 1'!$N$5&lt;&gt;"Federal - NIH",OR(AND(ISBLANK('Personnel Yr 1'!I52),ISBLANK('Personnel Yr 1'!J52),ISBLANK('Personnel Yr 1'!K52)),AND('Personnel Yr 1'!I52="",'Personnel Yr 1'!J52="",'Personnel Yr 1'!K52=""))),FALSE,IF('Personnel Yr 1'!I52&gt;0,'Personnel Yr 1'!H52&gt;NIHSalaryCap,'Personnel Yr 1'!H52&gt;(NIHSalaryCap*8.5)/12))</f>
        <v>0</v>
      </c>
      <c r="AC20" s="350" t="b">
        <f>IF('Personnel Yr 1'!$J$5&gt;1,IF(OR('Personnel Yr 1'!$N$5&lt;&gt;"Federal - NIH",OR(AND(ISBLANK('Personnel Yr 2'!I52),ISBLANK('Personnel Yr 2'!J52),ISBLANK('Personnel Yr 2'!K52)),AND('Personnel Yr 2'!I52="",'Personnel Yr 2'!J52="",'Personnel Yr 2'!K52=""))),FALSE,IF('Personnel Yr 2'!I52&gt;0,'Personnel Yr 2'!H52&gt;NIHSalaryCap,'Personnel Yr 2'!H52&gt;(NIHSalaryCap*8.5)/12)),FALSE)</f>
        <v>0</v>
      </c>
      <c r="AD20" s="350" t="b">
        <f>'Personnel Yr 3'!Y52</f>
        <v>0</v>
      </c>
      <c r="AE20" s="350" t="b">
        <f>'Personnel Yr 4'!Y52</f>
        <v>0</v>
      </c>
      <c r="AF20" s="350" t="b">
        <f>'Personnel Yr 5'!Y52</f>
        <v>0</v>
      </c>
      <c r="AG20" s="350" t="b">
        <f t="shared" si="0"/>
        <v>0</v>
      </c>
      <c r="AS20" s="443"/>
      <c r="AT20" s="443"/>
      <c r="AU20" s="443"/>
      <c r="AV20" s="443"/>
      <c r="AW20" s="443"/>
      <c r="AX20" s="443"/>
    </row>
    <row r="21" spans="1:50" x14ac:dyDescent="0.2">
      <c r="A21" s="384" t="s">
        <v>434</v>
      </c>
      <c r="B21" s="385"/>
      <c r="C21" s="385"/>
      <c r="D21" s="385"/>
      <c r="E21" s="385"/>
      <c r="F21" s="385"/>
      <c r="G21" s="385"/>
      <c r="H21" s="385"/>
      <c r="I21" s="385"/>
      <c r="S21" s="442"/>
      <c r="T21" s="442"/>
      <c r="W21" s="362"/>
      <c r="X21" s="362"/>
      <c r="Y21" s="362"/>
      <c r="Z21" s="362"/>
      <c r="AA21" s="362"/>
      <c r="AB21" s="350" t="b">
        <f>IF(OR('Personnel Yr 1'!$N$5&lt;&gt;"Federal - NIH",OR(AND(ISBLANK('Personnel Yr 1'!I53),ISBLANK('Personnel Yr 1'!J53),ISBLANK('Personnel Yr 1'!K53)),AND('Personnel Yr 1'!I53="",'Personnel Yr 1'!J53="",'Personnel Yr 1'!K53=""))),FALSE,IF('Personnel Yr 1'!I53&gt;0,'Personnel Yr 1'!H53&gt;NIHSalaryCap,'Personnel Yr 1'!H53&gt;(NIHSalaryCap*8.5)/12))</f>
        <v>0</v>
      </c>
      <c r="AC21" s="350" t="b">
        <f>IF('Personnel Yr 1'!$J$5&gt;1,IF(OR('Personnel Yr 1'!$N$5&lt;&gt;"Federal - NIH",OR(AND(ISBLANK('Personnel Yr 2'!I53),ISBLANK('Personnel Yr 2'!J53),ISBLANK('Personnel Yr 2'!K53)),AND('Personnel Yr 2'!I53="",'Personnel Yr 2'!J53="",'Personnel Yr 2'!K53=""))),FALSE,IF('Personnel Yr 2'!I53&gt;0,'Personnel Yr 2'!H53&gt;NIHSalaryCap,'Personnel Yr 2'!H53&gt;(NIHSalaryCap*8.5)/12)),FALSE)</f>
        <v>0</v>
      </c>
      <c r="AD21" s="350" t="b">
        <f>'Personnel Yr 3'!Y53</f>
        <v>0</v>
      </c>
      <c r="AE21" s="350" t="b">
        <f>'Personnel Yr 4'!Y53</f>
        <v>0</v>
      </c>
      <c r="AF21" s="350" t="b">
        <f>'Personnel Yr 5'!Y53</f>
        <v>0</v>
      </c>
      <c r="AG21" s="350" t="b">
        <f t="shared" si="0"/>
        <v>0</v>
      </c>
      <c r="AS21" s="443"/>
      <c r="AT21" s="443"/>
      <c r="AU21" s="443"/>
      <c r="AV21" s="443"/>
      <c r="AW21" s="443"/>
      <c r="AX21" s="443"/>
    </row>
    <row r="22" spans="1:50" x14ac:dyDescent="0.2">
      <c r="A22" s="425" t="s">
        <v>473</v>
      </c>
      <c r="B22" s="386"/>
      <c r="C22" s="386"/>
      <c r="D22" s="386"/>
      <c r="E22" s="386"/>
      <c r="F22" s="386"/>
      <c r="G22" s="386"/>
      <c r="H22" s="386"/>
      <c r="I22" s="387"/>
      <c r="S22" s="442"/>
      <c r="T22" s="442"/>
      <c r="W22" s="362"/>
      <c r="X22" s="362"/>
      <c r="Y22" s="362"/>
      <c r="Z22" s="362"/>
      <c r="AA22" s="362"/>
      <c r="AB22" s="350" t="b">
        <f>IF(OR('Personnel Yr 1'!$N$5&lt;&gt;"Federal - NIH",OR(AND(ISBLANK('Personnel Yr 1'!I54),ISBLANK('Personnel Yr 1'!J54),ISBLANK('Personnel Yr 1'!K54)),AND('Personnel Yr 1'!I54="",'Personnel Yr 1'!J54="",'Personnel Yr 1'!K54=""))),FALSE,IF('Personnel Yr 1'!I54&gt;0,'Personnel Yr 1'!H54&gt;NIHSalaryCap,'Personnel Yr 1'!H54&gt;(NIHSalaryCap*8.5)/12))</f>
        <v>0</v>
      </c>
      <c r="AC22" s="350" t="b">
        <f>IF('Personnel Yr 1'!$J$5&gt;1,IF(OR('Personnel Yr 1'!$N$5&lt;&gt;"Federal - NIH",OR(AND(ISBLANK('Personnel Yr 2'!I54),ISBLANK('Personnel Yr 2'!J54),ISBLANK('Personnel Yr 2'!K54)),AND('Personnel Yr 2'!I54="",'Personnel Yr 2'!J54="",'Personnel Yr 2'!K54=""))),FALSE,IF('Personnel Yr 2'!I54&gt;0,'Personnel Yr 2'!H54&gt;NIHSalaryCap,'Personnel Yr 2'!H54&gt;(NIHSalaryCap*8.5)/12)),FALSE)</f>
        <v>0</v>
      </c>
      <c r="AD22" s="350" t="b">
        <f>'Personnel Yr 3'!Y54</f>
        <v>0</v>
      </c>
      <c r="AE22" s="350" t="b">
        <f>'Personnel Yr 4'!Y54</f>
        <v>0</v>
      </c>
      <c r="AF22" s="350" t="b">
        <f>'Personnel Yr 5'!Y54</f>
        <v>0</v>
      </c>
      <c r="AG22" s="350" t="b">
        <f t="shared" si="0"/>
        <v>0</v>
      </c>
      <c r="AS22" s="443"/>
      <c r="AT22" s="443"/>
      <c r="AU22" s="443"/>
      <c r="AV22" s="443"/>
      <c r="AW22" s="443"/>
      <c r="AX22" s="443"/>
    </row>
    <row r="23" spans="1:50" x14ac:dyDescent="0.2">
      <c r="A23" s="426" t="s">
        <v>472</v>
      </c>
      <c r="B23" s="389"/>
      <c r="C23" s="389"/>
      <c r="D23" s="389"/>
      <c r="E23" s="389"/>
      <c r="F23" s="389"/>
      <c r="G23" s="389"/>
      <c r="H23" s="389"/>
      <c r="I23" s="390"/>
      <c r="S23" s="442"/>
      <c r="T23" s="442"/>
      <c r="W23" s="362"/>
      <c r="X23" s="362"/>
      <c r="Y23" s="362"/>
      <c r="Z23" s="362"/>
      <c r="AA23" s="362"/>
      <c r="AB23" s="350" t="b">
        <f>IF(OR('Personnel Yr 1'!$N$5&lt;&gt;"Federal - NIH",OR(AND(ISBLANK('Personnel Yr 1'!I55),ISBLANK('Personnel Yr 1'!J55),ISBLANK('Personnel Yr 1'!K55)),AND('Personnel Yr 1'!I55="",'Personnel Yr 1'!J55="",'Personnel Yr 1'!K55=""))),FALSE,IF('Personnel Yr 1'!I55&gt;0,'Personnel Yr 1'!H55&gt;NIHSalaryCap,'Personnel Yr 1'!H55&gt;(NIHSalaryCap*8.5)/12))</f>
        <v>0</v>
      </c>
      <c r="AC23" s="350" t="b">
        <f>IF('Personnel Yr 1'!$J$5&gt;1,IF(OR('Personnel Yr 1'!$N$5&lt;&gt;"Federal - NIH",OR(AND(ISBLANK('Personnel Yr 2'!I55),ISBLANK('Personnel Yr 2'!J55),ISBLANK('Personnel Yr 2'!K55)),AND('Personnel Yr 2'!I55="",'Personnel Yr 2'!J55="",'Personnel Yr 2'!K55=""))),FALSE,IF('Personnel Yr 2'!I55&gt;0,'Personnel Yr 2'!H55&gt;NIHSalaryCap,'Personnel Yr 2'!H55&gt;(NIHSalaryCap*8.5)/12)),FALSE)</f>
        <v>0</v>
      </c>
      <c r="AD23" s="350" t="b">
        <f>'Personnel Yr 3'!Y55</f>
        <v>0</v>
      </c>
      <c r="AE23" s="350" t="b">
        <f>'Personnel Yr 4'!Y55</f>
        <v>0</v>
      </c>
      <c r="AF23" s="350" t="b">
        <f>'Personnel Yr 5'!Y55</f>
        <v>0</v>
      </c>
      <c r="AG23" s="350" t="b">
        <f t="shared" si="0"/>
        <v>0</v>
      </c>
      <c r="AS23" s="443"/>
      <c r="AT23" s="443"/>
      <c r="AU23" s="443"/>
      <c r="AV23" s="443"/>
      <c r="AW23" s="443"/>
      <c r="AX23" s="443"/>
    </row>
    <row r="24" spans="1:50" x14ac:dyDescent="0.2">
      <c r="A24" s="388" t="s">
        <v>477</v>
      </c>
      <c r="B24" s="389"/>
      <c r="C24" s="389"/>
      <c r="D24" s="389"/>
      <c r="E24" s="389"/>
      <c r="F24" s="389"/>
      <c r="G24" s="389"/>
      <c r="H24" s="389"/>
      <c r="I24" s="390"/>
      <c r="S24" s="442"/>
      <c r="T24" s="442"/>
      <c r="W24" s="362"/>
      <c r="X24" s="362"/>
      <c r="Y24" s="362"/>
      <c r="Z24" s="362"/>
      <c r="AA24" s="362"/>
      <c r="AB24" s="350" t="b">
        <f>IF(OR('Personnel Yr 1'!$N$5&lt;&gt;"Federal - NIH",OR(AND(ISBLANK('Personnel Yr 1'!I56),ISBLANK('Personnel Yr 1'!J56),ISBLANK('Personnel Yr 1'!K56)),AND('Personnel Yr 1'!I56="",'Personnel Yr 1'!J56="",'Personnel Yr 1'!K56=""))),FALSE,IF('Personnel Yr 1'!I56&gt;0,'Personnel Yr 1'!H56&gt;NIHSalaryCap,'Personnel Yr 1'!H56&gt;(NIHSalaryCap*8.5)/12))</f>
        <v>0</v>
      </c>
      <c r="AC24" s="350" t="b">
        <f>IF('Personnel Yr 1'!$J$5&gt;1,IF(OR('Personnel Yr 1'!$N$5&lt;&gt;"Federal - NIH",OR(AND(ISBLANK('Personnel Yr 2'!I56),ISBLANK('Personnel Yr 2'!J56),ISBLANK('Personnel Yr 2'!K56)),AND('Personnel Yr 2'!I56="",'Personnel Yr 2'!J56="",'Personnel Yr 2'!K56=""))),FALSE,IF('Personnel Yr 2'!I56&gt;0,'Personnel Yr 2'!H56&gt;NIHSalaryCap,'Personnel Yr 2'!H56&gt;(NIHSalaryCap*8.5)/12)),FALSE)</f>
        <v>0</v>
      </c>
      <c r="AD24" s="350" t="b">
        <f>'Personnel Yr 3'!Y56</f>
        <v>0</v>
      </c>
      <c r="AE24" s="350" t="b">
        <f>'Personnel Yr 4'!Y56</f>
        <v>0</v>
      </c>
      <c r="AF24" s="350" t="b">
        <f>'Personnel Yr 5'!Y56</f>
        <v>0</v>
      </c>
      <c r="AG24" s="350" t="b">
        <f t="shared" si="0"/>
        <v>0</v>
      </c>
      <c r="AS24" s="443"/>
      <c r="AT24" s="443"/>
      <c r="AU24" s="443"/>
      <c r="AV24" s="443"/>
      <c r="AW24" s="443"/>
      <c r="AX24" s="443"/>
    </row>
    <row r="25" spans="1:50" x14ac:dyDescent="0.2">
      <c r="A25" s="426" t="s">
        <v>476</v>
      </c>
      <c r="B25" s="389"/>
      <c r="C25" s="389"/>
      <c r="D25" s="389"/>
      <c r="E25" s="389"/>
      <c r="F25" s="389"/>
      <c r="G25" s="389"/>
      <c r="H25" s="389"/>
      <c r="I25" s="390"/>
      <c r="S25" s="442"/>
      <c r="T25" s="442"/>
      <c r="W25" s="362"/>
      <c r="X25" s="362"/>
      <c r="Y25" s="362"/>
      <c r="Z25" s="362"/>
      <c r="AA25" s="362"/>
      <c r="AB25" s="350" t="b">
        <f>IF(OR('Personnel Yr 1'!$N$5&lt;&gt;"Federal - NIH",OR(AND(ISBLANK('Personnel Yr 1'!I57),ISBLANK('Personnel Yr 1'!J57),ISBLANK('Personnel Yr 1'!K57)),AND('Personnel Yr 1'!I57="",'Personnel Yr 1'!J57="",'Personnel Yr 1'!K57=""))),FALSE,IF('Personnel Yr 1'!I57&gt;0,'Personnel Yr 1'!H57&gt;NIHSalaryCap,'Personnel Yr 1'!H57&gt;(NIHSalaryCap*8.5)/12))</f>
        <v>0</v>
      </c>
      <c r="AC25" s="350" t="b">
        <f>IF('Personnel Yr 1'!$J$5&gt;1,IF(OR('Personnel Yr 1'!$N$5&lt;&gt;"Federal - NIH",OR(AND(ISBLANK('Personnel Yr 2'!I57),ISBLANK('Personnel Yr 2'!J57),ISBLANK('Personnel Yr 2'!K57)),AND('Personnel Yr 2'!I57="",'Personnel Yr 2'!J57="",'Personnel Yr 2'!K57=""))),FALSE,IF('Personnel Yr 2'!I57&gt;0,'Personnel Yr 2'!H57&gt;NIHSalaryCap,'Personnel Yr 2'!H57&gt;(NIHSalaryCap*8.5)/12)),FALSE)</f>
        <v>0</v>
      </c>
      <c r="AD25" s="350" t="b">
        <f>'Personnel Yr 3'!Y57</f>
        <v>0</v>
      </c>
      <c r="AE25" s="350" t="b">
        <f>'Personnel Yr 4'!Y57</f>
        <v>0</v>
      </c>
      <c r="AF25" s="350" t="b">
        <f>'Personnel Yr 5'!Y57</f>
        <v>0</v>
      </c>
      <c r="AG25" s="350" t="b">
        <f t="shared" si="0"/>
        <v>0</v>
      </c>
      <c r="AS25" s="443"/>
      <c r="AT25" s="443"/>
      <c r="AU25" s="443"/>
      <c r="AV25" s="443"/>
      <c r="AW25" s="443"/>
      <c r="AX25" s="443"/>
    </row>
    <row r="26" spans="1:50" x14ac:dyDescent="0.2">
      <c r="A26" s="428" t="s">
        <v>478</v>
      </c>
      <c r="B26" s="389"/>
      <c r="C26" s="389"/>
      <c r="D26" s="389"/>
      <c r="E26" s="389"/>
      <c r="F26" s="389"/>
      <c r="G26" s="389"/>
      <c r="H26" s="389"/>
      <c r="I26" s="390"/>
      <c r="S26" s="442"/>
      <c r="T26" s="442"/>
      <c r="W26" s="362"/>
      <c r="X26" s="362"/>
      <c r="Y26" s="362"/>
      <c r="Z26" s="362"/>
      <c r="AA26" s="362"/>
      <c r="AB26" s="350" t="b">
        <f>IF(OR('Personnel Yr 1'!$N$5&lt;&gt;"Federal - NIH",OR(AND(ISBLANK('Personnel Yr 1'!I58),ISBLANK('Personnel Yr 1'!J58),ISBLANK('Personnel Yr 1'!K58)),AND('Personnel Yr 1'!I58="",'Personnel Yr 1'!J58="",'Personnel Yr 1'!K58=""))),FALSE,IF('Personnel Yr 1'!I58&gt;0,'Personnel Yr 1'!H58&gt;NIHSalaryCap,'Personnel Yr 1'!H58&gt;(NIHSalaryCap*8.5)/12))</f>
        <v>0</v>
      </c>
      <c r="AC26" s="350" t="b">
        <f>IF('Personnel Yr 1'!$J$5&gt;1,IF(OR('Personnel Yr 1'!$N$5&lt;&gt;"Federal - NIH",OR(AND(ISBLANK('Personnel Yr 2'!I58),ISBLANK('Personnel Yr 2'!J58),ISBLANK('Personnel Yr 2'!K58)),AND('Personnel Yr 2'!I58="",'Personnel Yr 2'!J58="",'Personnel Yr 2'!K58=""))),FALSE,IF('Personnel Yr 2'!I58&gt;0,'Personnel Yr 2'!H58&gt;NIHSalaryCap,'Personnel Yr 2'!H58&gt;(NIHSalaryCap*8.5)/12)),FALSE)</f>
        <v>0</v>
      </c>
      <c r="AD26" s="350" t="b">
        <f>'Personnel Yr 3'!Y58</f>
        <v>0</v>
      </c>
      <c r="AE26" s="350" t="b">
        <f>'Personnel Yr 4'!Y58</f>
        <v>0</v>
      </c>
      <c r="AF26" s="350" t="b">
        <f>'Personnel Yr 5'!Y58</f>
        <v>0</v>
      </c>
      <c r="AG26" s="350" t="b">
        <f t="shared" si="0"/>
        <v>0</v>
      </c>
      <c r="AS26" s="443"/>
      <c r="AT26" s="443"/>
      <c r="AU26" s="443"/>
      <c r="AV26" s="443"/>
      <c r="AW26" s="443"/>
      <c r="AX26" s="443"/>
    </row>
    <row r="27" spans="1:50" x14ac:dyDescent="0.2">
      <c r="A27" s="426" t="s">
        <v>479</v>
      </c>
      <c r="B27" s="389"/>
      <c r="C27" s="389"/>
      <c r="D27" s="389"/>
      <c r="E27" s="389"/>
      <c r="F27" s="389"/>
      <c r="G27" s="389"/>
      <c r="H27" s="389"/>
      <c r="I27" s="390"/>
      <c r="S27" s="442"/>
      <c r="T27" s="442"/>
      <c r="W27" s="362"/>
      <c r="X27" s="362"/>
      <c r="Y27" s="362"/>
      <c r="Z27" s="362"/>
      <c r="AA27" s="362"/>
      <c r="AS27" s="443"/>
      <c r="AT27" s="443"/>
      <c r="AU27" s="443"/>
      <c r="AV27" s="443"/>
      <c r="AW27" s="443"/>
      <c r="AX27" s="443"/>
    </row>
    <row r="28" spans="1:50" x14ac:dyDescent="0.2">
      <c r="A28" s="426" t="s">
        <v>480</v>
      </c>
      <c r="B28" s="389"/>
      <c r="C28" s="389"/>
      <c r="D28" s="389"/>
      <c r="E28" s="389"/>
      <c r="F28" s="389"/>
      <c r="G28" s="389"/>
      <c r="H28" s="389"/>
      <c r="I28" s="390"/>
      <c r="S28" s="442"/>
      <c r="T28" s="442"/>
      <c r="AS28" s="443"/>
      <c r="AT28" s="443"/>
      <c r="AU28" s="443"/>
      <c r="AV28" s="443"/>
      <c r="AW28" s="443"/>
      <c r="AX28" s="443"/>
    </row>
    <row r="29" spans="1:50" x14ac:dyDescent="0.2">
      <c r="A29" s="426" t="s">
        <v>481</v>
      </c>
      <c r="B29" s="389"/>
      <c r="C29" s="389"/>
      <c r="D29" s="389"/>
      <c r="E29" s="389"/>
      <c r="F29" s="389"/>
      <c r="G29" s="389"/>
      <c r="H29" s="389"/>
      <c r="I29" s="390"/>
      <c r="K29" s="356"/>
      <c r="S29" s="442"/>
      <c r="T29" s="442"/>
      <c r="AS29" s="443"/>
      <c r="AT29" s="443"/>
      <c r="AU29" s="443"/>
      <c r="AV29" s="443"/>
      <c r="AW29" s="443"/>
      <c r="AX29" s="443"/>
    </row>
    <row r="30" spans="1:50" x14ac:dyDescent="0.2">
      <c r="A30" s="388" t="s">
        <v>482</v>
      </c>
      <c r="B30" s="389"/>
      <c r="C30" s="389"/>
      <c r="D30" s="389"/>
      <c r="E30" s="389"/>
      <c r="F30" s="389"/>
      <c r="G30" s="389"/>
      <c r="H30" s="389"/>
      <c r="I30" s="390"/>
      <c r="S30" s="442"/>
      <c r="T30" s="442"/>
      <c r="AS30" s="443"/>
      <c r="AT30" s="443"/>
      <c r="AU30" s="443"/>
      <c r="AV30" s="443"/>
      <c r="AW30" s="443"/>
      <c r="AX30" s="443"/>
    </row>
    <row r="31" spans="1:50" x14ac:dyDescent="0.2">
      <c r="A31" s="427" t="s">
        <v>474</v>
      </c>
      <c r="B31" s="389"/>
      <c r="C31" s="389"/>
      <c r="D31" s="389"/>
      <c r="E31" s="389"/>
      <c r="F31" s="389"/>
      <c r="G31" s="389"/>
      <c r="H31" s="389"/>
      <c r="I31" s="390"/>
      <c r="S31" s="442"/>
      <c r="T31" s="442"/>
      <c r="AS31" s="443"/>
      <c r="AT31" s="443"/>
      <c r="AU31" s="443"/>
      <c r="AV31" s="443"/>
      <c r="AW31" s="443"/>
      <c r="AX31" s="443"/>
    </row>
    <row r="32" spans="1:50" x14ac:dyDescent="0.2">
      <c r="A32" s="388" t="s">
        <v>483</v>
      </c>
      <c r="B32" s="389"/>
      <c r="C32" s="389"/>
      <c r="D32" s="389"/>
      <c r="E32" s="389"/>
      <c r="F32" s="389"/>
      <c r="G32" s="389"/>
      <c r="H32" s="389"/>
      <c r="I32" s="390"/>
      <c r="S32" s="442"/>
      <c r="T32" s="442"/>
      <c r="AS32" s="443"/>
      <c r="AT32" s="443"/>
      <c r="AU32" s="443"/>
      <c r="AV32" s="443"/>
      <c r="AW32" s="443"/>
      <c r="AX32" s="443"/>
    </row>
    <row r="33" spans="1:50" x14ac:dyDescent="0.2">
      <c r="A33" s="426" t="s">
        <v>485</v>
      </c>
      <c r="B33" s="389"/>
      <c r="C33" s="389"/>
      <c r="D33" s="389"/>
      <c r="E33" s="389"/>
      <c r="F33" s="389"/>
      <c r="G33" s="389"/>
      <c r="H33" s="389"/>
      <c r="I33" s="390"/>
      <c r="S33" s="442"/>
      <c r="T33" s="442"/>
      <c r="AS33" s="443"/>
      <c r="AT33" s="443"/>
      <c r="AU33" s="443"/>
      <c r="AV33" s="443"/>
      <c r="AW33" s="443"/>
      <c r="AX33" s="443"/>
    </row>
    <row r="34" spans="1:50" x14ac:dyDescent="0.2">
      <c r="A34" s="426" t="s">
        <v>475</v>
      </c>
      <c r="B34" s="389"/>
      <c r="C34" s="389"/>
      <c r="D34" s="389"/>
      <c r="E34" s="389"/>
      <c r="F34" s="389"/>
      <c r="G34" s="389"/>
      <c r="H34" s="389"/>
      <c r="I34" s="390"/>
      <c r="S34" s="442"/>
      <c r="T34" s="442"/>
      <c r="AS34" s="443"/>
      <c r="AT34" s="443"/>
      <c r="AU34" s="443"/>
      <c r="AV34" s="443"/>
      <c r="AW34" s="443"/>
      <c r="AX34" s="443"/>
    </row>
    <row r="35" spans="1:50" x14ac:dyDescent="0.2">
      <c r="A35" s="391" t="s">
        <v>484</v>
      </c>
      <c r="B35" s="392"/>
      <c r="C35" s="392"/>
      <c r="D35" s="392"/>
      <c r="E35" s="392"/>
      <c r="F35" s="392"/>
      <c r="G35" s="392"/>
      <c r="H35" s="392"/>
      <c r="I35" s="393"/>
      <c r="S35" s="442"/>
      <c r="T35" s="442"/>
      <c r="AS35" s="443"/>
      <c r="AT35" s="443"/>
      <c r="AU35" s="443"/>
      <c r="AV35" s="443"/>
      <c r="AW35" s="443"/>
      <c r="AX35" s="443"/>
    </row>
    <row r="36" spans="1:50" x14ac:dyDescent="0.2">
      <c r="S36" s="442"/>
      <c r="T36" s="442"/>
      <c r="AS36" s="443"/>
      <c r="AT36" s="443"/>
      <c r="AU36" s="443"/>
      <c r="AV36" s="443"/>
      <c r="AW36" s="443"/>
      <c r="AX36" s="443"/>
    </row>
    <row r="37" spans="1:50" x14ac:dyDescent="0.2">
      <c r="S37" s="442"/>
      <c r="T37" s="442"/>
      <c r="AS37" s="443"/>
      <c r="AT37" s="443"/>
      <c r="AU37" s="443"/>
      <c r="AV37" s="443"/>
      <c r="AW37" s="443"/>
      <c r="AX37" s="443"/>
    </row>
    <row r="38" spans="1:50" x14ac:dyDescent="0.2">
      <c r="S38" s="442"/>
      <c r="T38" s="442"/>
      <c r="AS38" s="443"/>
      <c r="AT38" s="443"/>
      <c r="AU38" s="443"/>
      <c r="AV38" s="443"/>
      <c r="AW38" s="443"/>
      <c r="AX38" s="443"/>
    </row>
    <row r="39" spans="1:50" x14ac:dyDescent="0.2">
      <c r="S39" s="442"/>
      <c r="T39" s="442"/>
      <c r="AS39" s="443"/>
      <c r="AT39" s="443"/>
      <c r="AU39" s="443"/>
      <c r="AV39" s="443"/>
      <c r="AW39" s="443"/>
      <c r="AX39" s="443"/>
    </row>
    <row r="40" spans="1:50" x14ac:dyDescent="0.2">
      <c r="S40" s="442"/>
      <c r="T40" s="442"/>
      <c r="AS40" s="443"/>
      <c r="AT40" s="443"/>
      <c r="AU40" s="443"/>
      <c r="AV40" s="443"/>
      <c r="AW40" s="443"/>
      <c r="AX40" s="443"/>
    </row>
  </sheetData>
  <sheetProtection algorithmName="SHA-512" hashValue="h+RMY4Si5NrLHeqUegiYYXc5wOXnGnNgmxyr1Sh9ytBeHDT00vIY4WZUgCF71azg82iFTZ4JLUend5e2HPNR8Q==" saltValue="OyDxO85FIJk6Dq9+pG5sqA==" spinCount="100000" sheet="1" objects="1" scenarios="1"/>
  <mergeCells count="9">
    <mergeCell ref="K4:R5"/>
    <mergeCell ref="K3:R3"/>
    <mergeCell ref="K6:R8"/>
    <mergeCell ref="D16:I16"/>
    <mergeCell ref="A1:I1"/>
    <mergeCell ref="A2:B2"/>
    <mergeCell ref="C2:D2"/>
    <mergeCell ref="D6:I6"/>
    <mergeCell ref="D14:I14"/>
  </mergeCells>
  <conditionalFormatting sqref="D7">
    <cfRule type="expression" dxfId="4" priority="5">
      <formula>$D$7&gt;250000</formula>
    </cfRule>
  </conditionalFormatting>
  <conditionalFormatting sqref="E7">
    <cfRule type="expression" dxfId="3" priority="4">
      <formula>$E$7&gt;250000</formula>
    </cfRule>
  </conditionalFormatting>
  <conditionalFormatting sqref="F7">
    <cfRule type="expression" dxfId="2" priority="3">
      <formula>$F$7&gt;250000</formula>
    </cfRule>
  </conditionalFormatting>
  <conditionalFormatting sqref="G7">
    <cfRule type="expression" dxfId="1" priority="2">
      <formula>$G$7&gt;250000</formula>
    </cfRule>
  </conditionalFormatting>
  <conditionalFormatting sqref="H7">
    <cfRule type="expression" dxfId="0" priority="1">
      <formula>$H$7&gt;250000</formula>
    </cfRule>
  </conditionalFormatting>
  <hyperlinks>
    <hyperlink ref="A31" r:id="rId1" display="http://grants.nih.gov/grants/funding/modular/modular_faq_pub.htm" xr:uid="{00000000-0004-0000-0900-000000000000}"/>
  </hyperlinks>
  <pageMargins left="0.25" right="0.25" top="0.5" bottom="0.5" header="0.3" footer="0.3"/>
  <pageSetup orientation="portrait"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5"/>
  <sheetViews>
    <sheetView zoomScaleNormal="100" workbookViewId="0">
      <selection sqref="A1:I1"/>
    </sheetView>
  </sheetViews>
  <sheetFormatPr defaultColWidth="8.85546875" defaultRowHeight="12.75" x14ac:dyDescent="0.2"/>
  <cols>
    <col min="1" max="1" width="7.7109375" style="285" customWidth="1"/>
    <col min="2" max="2" width="12.7109375" style="285" customWidth="1"/>
    <col min="3" max="3" width="15.5703125" style="285" customWidth="1"/>
    <col min="4" max="9" width="11" style="285" customWidth="1"/>
    <col min="10" max="16384" width="8.85546875" style="285"/>
  </cols>
  <sheetData>
    <row r="1" spans="1:10" ht="18" x14ac:dyDescent="0.2">
      <c r="A1" s="862" t="s">
        <v>448</v>
      </c>
      <c r="B1" s="862"/>
      <c r="C1" s="862"/>
      <c r="D1" s="862"/>
      <c r="E1" s="862"/>
      <c r="F1" s="862"/>
      <c r="G1" s="862"/>
      <c r="H1" s="862"/>
      <c r="I1" s="862"/>
    </row>
    <row r="2" spans="1:10" ht="14.45" customHeight="1" x14ac:dyDescent="0.2">
      <c r="A2" s="863" t="s">
        <v>126</v>
      </c>
      <c r="B2" s="863"/>
      <c r="C2" s="863" t="str">
        <f>CONCATENATE('Personnel Yr 1'!B7, IF(OR(ISBLANK('Personnel Yr 1'!B7),'Personnel Yr 1'!B7=""),""," "),'Personnel Yr 1'!C7, " ",'Personnel Yr 1'!D7,IF(OR(ISBLANK('Personnel Yr 1'!D7),'Personnel Yr 1'!D7=""),""," "),'Personnel Yr 1'!E7," ",'Personnel Yr 1'!F7)</f>
        <v xml:space="preserve">    </v>
      </c>
      <c r="D2" s="863"/>
      <c r="E2" s="309" t="s">
        <v>218</v>
      </c>
      <c r="F2" s="309">
        <f>'Personnel Yr 1'!N4</f>
        <v>0</v>
      </c>
      <c r="H2" s="296" t="s">
        <v>104</v>
      </c>
      <c r="I2" s="317">
        <f>'Personnel Yr 1'!H5</f>
        <v>44713</v>
      </c>
    </row>
    <row r="3" spans="1:10" ht="14.45" customHeight="1" thickBot="1" x14ac:dyDescent="0.25">
      <c r="A3" s="314"/>
      <c r="D3" s="316"/>
      <c r="E3" s="301"/>
      <c r="F3" s="315"/>
    </row>
    <row r="4" spans="1:10" ht="14.45" customHeight="1" thickBot="1" x14ac:dyDescent="0.25">
      <c r="A4" s="314"/>
      <c r="C4" s="289" t="s">
        <v>447</v>
      </c>
      <c r="D4" s="313">
        <f>ROUND(('Non-personnel'!H52-'Non-personnel'!I90)/25000,0)</f>
        <v>0</v>
      </c>
      <c r="E4" s="312">
        <f>ROUND(('Non-personnel'!J52-'Non-personnel'!K90)/25000,0)</f>
        <v>0</v>
      </c>
      <c r="F4" s="312">
        <f>ROUND(('Non-personnel'!L52-'Non-personnel'!M90)/25000,0)</f>
        <v>0</v>
      </c>
      <c r="G4" s="312">
        <f>ROUND(('Non-personnel'!N52-'Non-personnel'!O90)/25000,0)</f>
        <v>0</v>
      </c>
      <c r="H4" s="312">
        <f>ROUND(('Non-personnel'!P52-'Non-personnel'!Q90)/25000,0)</f>
        <v>0</v>
      </c>
      <c r="I4" s="311">
        <f>SUM(D4:H4)</f>
        <v>0</v>
      </c>
    </row>
    <row r="5" spans="1:10" ht="14.45" customHeight="1" thickBot="1" x14ac:dyDescent="0.25">
      <c r="B5" s="309"/>
      <c r="C5" s="308"/>
      <c r="D5" s="310" t="s">
        <v>35</v>
      </c>
      <c r="E5" s="296" t="s">
        <v>36</v>
      </c>
      <c r="F5" s="296" t="s">
        <v>37</v>
      </c>
      <c r="G5" s="296" t="s">
        <v>38</v>
      </c>
      <c r="H5" s="296" t="s">
        <v>39</v>
      </c>
      <c r="I5" s="296" t="s">
        <v>40</v>
      </c>
    </row>
    <row r="6" spans="1:10" ht="14.45" customHeight="1" x14ac:dyDescent="0.2">
      <c r="A6" s="296" t="s">
        <v>446</v>
      </c>
      <c r="B6" s="309"/>
      <c r="C6" s="308"/>
      <c r="D6" s="859" t="s">
        <v>438</v>
      </c>
      <c r="E6" s="860"/>
      <c r="F6" s="860"/>
      <c r="G6" s="860"/>
      <c r="H6" s="860"/>
      <c r="I6" s="861"/>
    </row>
    <row r="7" spans="1:10" ht="14.45" customHeight="1" x14ac:dyDescent="0.2">
      <c r="C7" s="307" t="s">
        <v>445</v>
      </c>
      <c r="D7" s="299">
        <f>D4*25000</f>
        <v>0</v>
      </c>
      <c r="E7" s="298">
        <f>E4*25000</f>
        <v>0</v>
      </c>
      <c r="F7" s="298">
        <f>F4*25000</f>
        <v>0</v>
      </c>
      <c r="G7" s="298">
        <f>G4*25000</f>
        <v>0</v>
      </c>
      <c r="H7" s="298">
        <f>H4*25000</f>
        <v>0</v>
      </c>
      <c r="I7" s="297">
        <f>SUM(D7:H7)</f>
        <v>0</v>
      </c>
      <c r="J7" s="316"/>
    </row>
    <row r="8" spans="1:10" ht="14.45" customHeight="1" x14ac:dyDescent="0.2">
      <c r="C8" s="307" t="s">
        <v>444</v>
      </c>
      <c r="D8" s="299">
        <f>'Non-personnel'!I90</f>
        <v>0</v>
      </c>
      <c r="E8" s="298">
        <f>'Non-personnel'!K90</f>
        <v>0</v>
      </c>
      <c r="F8" s="298">
        <f>'Non-personnel'!M90</f>
        <v>0</v>
      </c>
      <c r="G8" s="298">
        <f>'Non-personnel'!O90</f>
        <v>0</v>
      </c>
      <c r="H8" s="298">
        <f>'Non-personnel'!Q90</f>
        <v>0</v>
      </c>
      <c r="I8" s="297">
        <f>SUM(D8:H8)</f>
        <v>0</v>
      </c>
    </row>
    <row r="9" spans="1:10" ht="14.45" customHeight="1" x14ac:dyDescent="0.2">
      <c r="C9" s="307" t="s">
        <v>443</v>
      </c>
      <c r="D9" s="299">
        <f>SUM(D7:D8)</f>
        <v>0</v>
      </c>
      <c r="E9" s="298">
        <f>SUM(E7:E8)</f>
        <v>0</v>
      </c>
      <c r="F9" s="298">
        <f>SUM(F7:F8)</f>
        <v>0</v>
      </c>
      <c r="G9" s="298">
        <f>SUM(G7:G8)</f>
        <v>0</v>
      </c>
      <c r="H9" s="298">
        <f>SUM(H7:H8)</f>
        <v>0</v>
      </c>
      <c r="I9" s="297">
        <f>SUM(D9:H9)</f>
        <v>0</v>
      </c>
    </row>
    <row r="10" spans="1:10" ht="14.45" customHeight="1" x14ac:dyDescent="0.2">
      <c r="A10" s="296" t="s">
        <v>442</v>
      </c>
      <c r="C10" s="307"/>
      <c r="D10" s="299"/>
      <c r="E10" s="298"/>
      <c r="F10" s="298"/>
      <c r="G10" s="298"/>
      <c r="H10" s="298"/>
      <c r="I10" s="297"/>
    </row>
    <row r="11" spans="1:10" ht="14.45" customHeight="1" x14ac:dyDescent="0.2">
      <c r="C11" s="306" t="s">
        <v>441</v>
      </c>
      <c r="D11" s="303" t="str">
        <f>'Non-personnel'!B57</f>
        <v>MTDC-NonFed</v>
      </c>
      <c r="E11" s="302" t="str">
        <f>'Non-personnel'!B58</f>
        <v>MTDC-NonFed</v>
      </c>
      <c r="F11" s="302" t="str">
        <f>'Non-personnel'!B59</f>
        <v>MTDC-NonFed</v>
      </c>
      <c r="G11" s="302" t="str">
        <f>'Non-personnel'!B60</f>
        <v>MTDC-NonFed</v>
      </c>
      <c r="H11" s="302" t="str">
        <f>'Non-personnel'!B61</f>
        <v>MTDC-NonFed</v>
      </c>
      <c r="I11" s="297"/>
    </row>
    <row r="12" spans="1:10" ht="14.45" customHeight="1" x14ac:dyDescent="0.2">
      <c r="C12" s="289" t="s">
        <v>440</v>
      </c>
      <c r="D12" s="305">
        <f>IFERROR(LOOKUP('Non-personnel'!C57,IDCDesc,IDCRate),'Non-personnel'!C57)</f>
        <v>0</v>
      </c>
      <c r="E12" s="304">
        <f>IFERROR(LOOKUP('Non-personnel'!C58,IDCDesc,IDCRate),'Non-personnel'!C58)</f>
        <v>0</v>
      </c>
      <c r="F12" s="304">
        <f>IFERROR(LOOKUP('Non-personnel'!C59,IDCDesc,IDCRate),'Non-personnel'!C59)</f>
        <v>0</v>
      </c>
      <c r="G12" s="304">
        <f>IFERROR(LOOKUP('Non-personnel'!C60,IDCDesc,IDCRate),'Non-personnel'!C60)</f>
        <v>0</v>
      </c>
      <c r="H12" s="304">
        <f>IFERROR(LOOKUP('Non-personnel'!C61,IDCDesc,IDCRate),'Non-personnel'!C61)</f>
        <v>0</v>
      </c>
      <c r="I12" s="297"/>
    </row>
    <row r="13" spans="1:10" ht="14.45" customHeight="1" x14ac:dyDescent="0.2">
      <c r="C13" s="289" t="s">
        <v>439</v>
      </c>
      <c r="D13" s="303">
        <f>'Non-personnel'!F57-'Non-personnel'!H52+D9</f>
        <v>0</v>
      </c>
      <c r="E13" s="302">
        <f>IF(OR(ISBLANK('Non-personnel'!F58),'Non-personnel'!F58=""),0,'Non-personnel'!F58)-'Non-personnel'!J52+E9</f>
        <v>0</v>
      </c>
      <c r="F13" s="302">
        <f>IF(OR(ISBLANK('Non-personnel'!F59),'Non-personnel'!F59=""),0,'Non-personnel'!F59)-'Non-personnel'!L52+F9</f>
        <v>0</v>
      </c>
      <c r="G13" s="302">
        <f>IF(OR(ISBLANK('Non-personnel'!F60),'Non-personnel'!F60=""),0,'Non-personnel'!F60)-'Non-personnel'!N52+G9</f>
        <v>0</v>
      </c>
      <c r="H13" s="302">
        <f>IF(OR(ISBLANK('Non-personnel'!F61),'Non-personnel'!F61=""),0,'Non-personnel'!F61)-'Non-personnel'!P52+H9</f>
        <v>0</v>
      </c>
      <c r="I13" s="297">
        <f>SUM(D13:H13)</f>
        <v>0</v>
      </c>
    </row>
    <row r="14" spans="1:10" ht="14.45" customHeight="1" x14ac:dyDescent="0.2">
      <c r="B14" s="300"/>
      <c r="C14" s="301"/>
      <c r="D14" s="856" t="s">
        <v>438</v>
      </c>
      <c r="E14" s="857"/>
      <c r="F14" s="857"/>
      <c r="G14" s="857"/>
      <c r="H14" s="857"/>
      <c r="I14" s="858"/>
    </row>
    <row r="15" spans="1:10" ht="14.45" customHeight="1" x14ac:dyDescent="0.2">
      <c r="B15" s="300"/>
      <c r="C15" s="295" t="s">
        <v>33</v>
      </c>
      <c r="D15" s="299">
        <f>D12*D13</f>
        <v>0</v>
      </c>
      <c r="E15" s="298">
        <f>E12*E13</f>
        <v>0</v>
      </c>
      <c r="F15" s="298">
        <f>F12*F13</f>
        <v>0</v>
      </c>
      <c r="G15" s="298">
        <f>G12*G13</f>
        <v>0</v>
      </c>
      <c r="H15" s="298">
        <f>H12*H13</f>
        <v>0</v>
      </c>
      <c r="I15" s="297">
        <f>SUM(D15:H15)</f>
        <v>0</v>
      </c>
    </row>
    <row r="16" spans="1:10" ht="14.45" customHeight="1" x14ac:dyDescent="0.2">
      <c r="C16" s="295"/>
      <c r="D16" s="856" t="s">
        <v>437</v>
      </c>
      <c r="E16" s="857"/>
      <c r="F16" s="857"/>
      <c r="G16" s="857"/>
      <c r="H16" s="857"/>
      <c r="I16" s="858"/>
    </row>
    <row r="17" spans="1:9" ht="14.45" customHeight="1" thickBot="1" x14ac:dyDescent="0.25">
      <c r="A17" s="296" t="s">
        <v>436</v>
      </c>
      <c r="C17" s="295"/>
      <c r="D17" s="294">
        <f>SUM(D9,D15)</f>
        <v>0</v>
      </c>
      <c r="E17" s="293">
        <f>SUM(E9,E15)</f>
        <v>0</v>
      </c>
      <c r="F17" s="293">
        <f>SUM(F9,F15)</f>
        <v>0</v>
      </c>
      <c r="G17" s="293">
        <f>SUM(G9,G15)</f>
        <v>0</v>
      </c>
      <c r="H17" s="293">
        <f>SUM(H9,H15)</f>
        <v>0</v>
      </c>
      <c r="I17" s="292">
        <f>SUM(D17:H17)</f>
        <v>0</v>
      </c>
    </row>
    <row r="18" spans="1:9" ht="14.45" customHeight="1" thickBot="1" x14ac:dyDescent="0.25">
      <c r="D18" s="290"/>
      <c r="E18" s="291"/>
      <c r="F18" s="291"/>
      <c r="G18" s="290"/>
      <c r="H18" s="290"/>
      <c r="I18" s="290"/>
    </row>
    <row r="19" spans="1:9" ht="14.45" customHeight="1" thickBot="1" x14ac:dyDescent="0.25">
      <c r="C19" s="289" t="s">
        <v>435</v>
      </c>
      <c r="D19" s="288">
        <f>ROUNDUP(SUM('Non-personnel'!H90,'Non-personnel'!I90)/1000,0) * 1000</f>
        <v>0</v>
      </c>
      <c r="E19" s="287">
        <f>ROUNDUP(SUM('Non-personnel'!J90,'Non-personnel'!K90)/1000,0)*1000</f>
        <v>0</v>
      </c>
      <c r="F19" s="287">
        <f>ROUNDUP(SUM('Non-personnel'!L90,'Non-personnel'!M90)/1000,0)*1000</f>
        <v>0</v>
      </c>
      <c r="G19" s="287">
        <f>ROUNDUP(SUM('Non-personnel'!N90,'Non-personnel'!O90)/1000,0)*1000</f>
        <v>0</v>
      </c>
      <c r="H19" s="287">
        <f>ROUNDUP(SUM('Non-personnel'!P90,'Non-personnel'!Q90)/1000,0)*1000</f>
        <v>0</v>
      </c>
      <c r="I19" s="286">
        <f>SUM(D19:H19)</f>
        <v>0</v>
      </c>
    </row>
    <row r="21" spans="1:9" x14ac:dyDescent="0.2">
      <c r="A21" s="384" t="s">
        <v>434</v>
      </c>
      <c r="B21" s="385"/>
      <c r="C21" s="385"/>
      <c r="D21" s="385"/>
      <c r="E21" s="385"/>
      <c r="F21" s="385"/>
      <c r="G21" s="385"/>
      <c r="H21" s="385"/>
      <c r="I21" s="385"/>
    </row>
    <row r="22" spans="1:9" x14ac:dyDescent="0.2">
      <c r="A22" s="425" t="s">
        <v>473</v>
      </c>
      <c r="B22" s="386"/>
      <c r="C22" s="386"/>
      <c r="D22" s="386"/>
      <c r="E22" s="386"/>
      <c r="F22" s="386"/>
      <c r="G22" s="386"/>
      <c r="H22" s="386"/>
      <c r="I22" s="387"/>
    </row>
    <row r="23" spans="1:9" x14ac:dyDescent="0.2">
      <c r="A23" s="426" t="s">
        <v>472</v>
      </c>
      <c r="B23" s="389"/>
      <c r="C23" s="389"/>
      <c r="D23" s="389"/>
      <c r="E23" s="389"/>
      <c r="F23" s="389"/>
      <c r="G23" s="389"/>
      <c r="H23" s="389"/>
      <c r="I23" s="390"/>
    </row>
    <row r="24" spans="1:9" x14ac:dyDescent="0.2">
      <c r="A24" s="388" t="s">
        <v>477</v>
      </c>
      <c r="B24" s="389"/>
      <c r="C24" s="389"/>
      <c r="D24" s="389"/>
      <c r="E24" s="389"/>
      <c r="F24" s="389"/>
      <c r="G24" s="389"/>
      <c r="H24" s="389"/>
      <c r="I24" s="390"/>
    </row>
    <row r="25" spans="1:9" x14ac:dyDescent="0.2">
      <c r="A25" s="426" t="s">
        <v>476</v>
      </c>
      <c r="B25" s="389"/>
      <c r="C25" s="389"/>
      <c r="D25" s="389"/>
      <c r="E25" s="389"/>
      <c r="F25" s="389"/>
      <c r="G25" s="389"/>
      <c r="H25" s="389"/>
      <c r="I25" s="390"/>
    </row>
    <row r="26" spans="1:9" x14ac:dyDescent="0.2">
      <c r="A26" s="428" t="s">
        <v>478</v>
      </c>
      <c r="B26" s="389"/>
      <c r="C26" s="389"/>
      <c r="D26" s="389"/>
      <c r="E26" s="389"/>
      <c r="F26" s="389"/>
      <c r="G26" s="389"/>
      <c r="H26" s="389"/>
      <c r="I26" s="390"/>
    </row>
    <row r="27" spans="1:9" x14ac:dyDescent="0.2">
      <c r="A27" s="426" t="s">
        <v>479</v>
      </c>
      <c r="B27" s="389"/>
      <c r="C27" s="389"/>
      <c r="D27" s="389"/>
      <c r="E27" s="389"/>
      <c r="F27" s="389"/>
      <c r="G27" s="389"/>
      <c r="H27" s="389"/>
      <c r="I27" s="390"/>
    </row>
    <row r="28" spans="1:9" x14ac:dyDescent="0.2">
      <c r="A28" s="426" t="s">
        <v>480</v>
      </c>
      <c r="B28" s="389"/>
      <c r="C28" s="389"/>
      <c r="D28" s="389"/>
      <c r="E28" s="389"/>
      <c r="F28" s="389"/>
      <c r="G28" s="389"/>
      <c r="H28" s="389"/>
      <c r="I28" s="390"/>
    </row>
    <row r="29" spans="1:9" x14ac:dyDescent="0.2">
      <c r="A29" s="426" t="s">
        <v>481</v>
      </c>
      <c r="B29" s="389"/>
      <c r="C29" s="389"/>
      <c r="D29" s="389"/>
      <c r="E29" s="389"/>
      <c r="F29" s="389"/>
      <c r="G29" s="389"/>
      <c r="H29" s="389"/>
      <c r="I29" s="390"/>
    </row>
    <row r="30" spans="1:9" x14ac:dyDescent="0.2">
      <c r="A30" s="388" t="s">
        <v>482</v>
      </c>
      <c r="B30" s="389"/>
      <c r="C30" s="389"/>
      <c r="D30" s="389"/>
      <c r="E30" s="389"/>
      <c r="F30" s="389"/>
      <c r="G30" s="389"/>
      <c r="H30" s="389"/>
      <c r="I30" s="390"/>
    </row>
    <row r="31" spans="1:9" x14ac:dyDescent="0.2">
      <c r="A31" s="427" t="s">
        <v>474</v>
      </c>
      <c r="B31" s="389"/>
      <c r="C31" s="389"/>
      <c r="D31" s="389"/>
      <c r="E31" s="389"/>
      <c r="F31" s="389"/>
      <c r="G31" s="389"/>
      <c r="H31" s="389"/>
      <c r="I31" s="390"/>
    </row>
    <row r="32" spans="1:9" x14ac:dyDescent="0.2">
      <c r="A32" s="388" t="s">
        <v>483</v>
      </c>
      <c r="B32" s="389"/>
      <c r="C32" s="389"/>
      <c r="D32" s="389"/>
      <c r="E32" s="389"/>
      <c r="F32" s="389"/>
      <c r="G32" s="389"/>
      <c r="H32" s="389"/>
      <c r="I32" s="390"/>
    </row>
    <row r="33" spans="1:9" x14ac:dyDescent="0.2">
      <c r="A33" s="426" t="s">
        <v>485</v>
      </c>
      <c r="B33" s="389"/>
      <c r="C33" s="389"/>
      <c r="D33" s="389"/>
      <c r="E33" s="389"/>
      <c r="F33" s="389"/>
      <c r="G33" s="389"/>
      <c r="H33" s="389"/>
      <c r="I33" s="390"/>
    </row>
    <row r="34" spans="1:9" x14ac:dyDescent="0.2">
      <c r="A34" s="426" t="s">
        <v>475</v>
      </c>
      <c r="B34" s="389"/>
      <c r="C34" s="389"/>
      <c r="D34" s="389"/>
      <c r="E34" s="389"/>
      <c r="F34" s="389"/>
      <c r="G34" s="389"/>
      <c r="H34" s="389"/>
      <c r="I34" s="390"/>
    </row>
    <row r="35" spans="1:9" x14ac:dyDescent="0.2">
      <c r="A35" s="391" t="s">
        <v>484</v>
      </c>
      <c r="B35" s="392"/>
      <c r="C35" s="392"/>
      <c r="D35" s="392"/>
      <c r="E35" s="392"/>
      <c r="F35" s="392"/>
      <c r="G35" s="392"/>
      <c r="H35" s="392"/>
      <c r="I35" s="393"/>
    </row>
  </sheetData>
  <sheetProtection algorithmName="SHA-512" hashValue="je2ev0vlmnvMJuIz1F83m2Rw0AjWv8mm2hPGLpPXzpDdMHwtr8lplFittqSFvW3qv6ra11aT1DCxavUMQmVPMA==" saltValue="htNdQrURnc3IeS8DcIZa+Q==" spinCount="100000" sheet="1" objects="1" scenarios="1"/>
  <mergeCells count="6">
    <mergeCell ref="D16:I16"/>
    <mergeCell ref="D14:I14"/>
    <mergeCell ref="D6:I6"/>
    <mergeCell ref="A1:I1"/>
    <mergeCell ref="C2:D2"/>
    <mergeCell ref="A2:B2"/>
  </mergeCells>
  <hyperlinks>
    <hyperlink ref="A31" r:id="rId1" display="http://grants.nih.gov/grants/funding/modular/modular_faq_pub.htm" xr:uid="{00000000-0004-0000-0A00-000000000000}"/>
  </hyperlinks>
  <pageMargins left="0.25" right="0.25" top="0.5" bottom="0.5" header="0.3" footer="0.3"/>
  <pageSetup orientation="portrait"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1"/>
  <sheetViews>
    <sheetView workbookViewId="0">
      <selection sqref="A1:G1"/>
    </sheetView>
  </sheetViews>
  <sheetFormatPr defaultRowHeight="12.75" x14ac:dyDescent="0.2"/>
  <cols>
    <col min="1" max="1" width="10.28515625" style="338" bestFit="1" customWidth="1"/>
    <col min="2" max="2" width="9.140625" style="338"/>
    <col min="3" max="6" width="9.28515625" style="338" bestFit="1" customWidth="1"/>
    <col min="7" max="7" width="9.5703125" style="338" bestFit="1" customWidth="1"/>
  </cols>
  <sheetData>
    <row r="1" spans="1:7" s="338" customFormat="1" ht="18" x14ac:dyDescent="0.25">
      <c r="A1" s="864" t="s">
        <v>468</v>
      </c>
      <c r="B1" s="864"/>
      <c r="C1" s="864"/>
      <c r="D1" s="864"/>
      <c r="E1" s="864"/>
      <c r="F1" s="864"/>
      <c r="G1" s="864"/>
    </row>
    <row r="2" spans="1:7" s="338" customFormat="1" ht="13.5" thickBot="1" x14ac:dyDescent="0.25"/>
    <row r="3" spans="1:7" ht="13.5" thickBot="1" x14ac:dyDescent="0.25">
      <c r="A3" s="399" t="s">
        <v>129</v>
      </c>
      <c r="B3" s="400" t="s">
        <v>35</v>
      </c>
      <c r="C3" s="401" t="s">
        <v>36</v>
      </c>
      <c r="D3" s="401" t="s">
        <v>37</v>
      </c>
      <c r="E3" s="401" t="s">
        <v>38</v>
      </c>
      <c r="F3" s="402" t="s">
        <v>39</v>
      </c>
      <c r="G3" s="403" t="s">
        <v>40</v>
      </c>
    </row>
    <row r="4" spans="1:7" x14ac:dyDescent="0.2">
      <c r="A4" s="398" t="s">
        <v>133</v>
      </c>
      <c r="B4" s="407">
        <f>'CUSE Grant Budget Form'!C38</f>
        <v>0</v>
      </c>
      <c r="C4" s="408">
        <f>'CUSE Grant Budget Form'!D38</f>
        <v>0</v>
      </c>
      <c r="D4" s="408">
        <f>'CUSE Grant Budget Form'!E38</f>
        <v>0</v>
      </c>
      <c r="E4" s="408">
        <f>'CUSE Grant Budget Form'!F38</f>
        <v>0</v>
      </c>
      <c r="F4" s="409">
        <f>'CUSE Grant Budget Form'!G38</f>
        <v>0</v>
      </c>
      <c r="G4" s="410">
        <f>'CUSE Grant Budget Form'!H38</f>
        <v>0</v>
      </c>
    </row>
    <row r="5" spans="1:7" x14ac:dyDescent="0.2">
      <c r="A5" s="394" t="s">
        <v>135</v>
      </c>
      <c r="B5" s="136">
        <f>'CUSE Grant Budget Form'!C39</f>
        <v>0</v>
      </c>
      <c r="C5" s="137">
        <f>'CUSE Grant Budget Form'!D39</f>
        <v>0</v>
      </c>
      <c r="D5" s="137">
        <f>'CUSE Grant Budget Form'!E39</f>
        <v>0</v>
      </c>
      <c r="E5" s="137">
        <f>'CUSE Grant Budget Form'!F39</f>
        <v>0</v>
      </c>
      <c r="F5" s="411">
        <f>'CUSE Grant Budget Form'!G39</f>
        <v>0</v>
      </c>
      <c r="G5" s="412">
        <f>'CUSE Grant Budget Form'!H39</f>
        <v>0</v>
      </c>
    </row>
    <row r="6" spans="1:7" x14ac:dyDescent="0.2">
      <c r="A6" s="395" t="s">
        <v>412</v>
      </c>
      <c r="B6" s="136">
        <f>'CUSE Grant Budget Form'!C40</f>
        <v>0</v>
      </c>
      <c r="C6" s="137">
        <f>'CUSE Grant Budget Form'!D40</f>
        <v>0</v>
      </c>
      <c r="D6" s="137">
        <f>'CUSE Grant Budget Form'!E40</f>
        <v>0</v>
      </c>
      <c r="E6" s="137">
        <f>'CUSE Grant Budget Form'!F40</f>
        <v>0</v>
      </c>
      <c r="F6" s="411">
        <f>'CUSE Grant Budget Form'!G40</f>
        <v>0</v>
      </c>
      <c r="G6" s="412">
        <f>'CUSE Grant Budget Form'!H40</f>
        <v>0</v>
      </c>
    </row>
    <row r="7" spans="1:7" x14ac:dyDescent="0.2">
      <c r="A7" s="394" t="s">
        <v>147</v>
      </c>
      <c r="B7" s="136">
        <f>'CUSE Grant Budget Form'!C102</f>
        <v>0</v>
      </c>
      <c r="C7" s="137">
        <f>'CUSE Grant Budget Form'!D102</f>
        <v>0</v>
      </c>
      <c r="D7" s="137">
        <f>'CUSE Grant Budget Form'!E102</f>
        <v>0</v>
      </c>
      <c r="E7" s="137">
        <f>'CUSE Grant Budget Form'!F102</f>
        <v>0</v>
      </c>
      <c r="F7" s="411">
        <f>'CUSE Grant Budget Form'!G102</f>
        <v>0</v>
      </c>
      <c r="G7" s="412">
        <f>'CUSE Grant Budget Form'!H102</f>
        <v>0</v>
      </c>
    </row>
    <row r="8" spans="1:7" x14ac:dyDescent="0.2">
      <c r="A8" s="394" t="s">
        <v>148</v>
      </c>
      <c r="B8" s="136">
        <f>'CUSE Grant Budget Form'!C103</f>
        <v>0</v>
      </c>
      <c r="C8" s="137">
        <f>'CUSE Grant Budget Form'!D103</f>
        <v>0</v>
      </c>
      <c r="D8" s="137">
        <f>'CUSE Grant Budget Form'!E103</f>
        <v>0</v>
      </c>
      <c r="E8" s="137">
        <f>'CUSE Grant Budget Form'!F103</f>
        <v>0</v>
      </c>
      <c r="F8" s="411">
        <f>'CUSE Grant Budget Form'!G103</f>
        <v>0</v>
      </c>
      <c r="G8" s="412">
        <f>'CUSE Grant Budget Form'!H103</f>
        <v>0</v>
      </c>
    </row>
    <row r="9" spans="1:7" x14ac:dyDescent="0.2">
      <c r="A9" s="396" t="s">
        <v>417</v>
      </c>
      <c r="B9" s="136">
        <f>'CUSE Grant Budget Form'!C105</f>
        <v>0</v>
      </c>
      <c r="C9" s="137">
        <f>'CUSE Grant Budget Form'!D105</f>
        <v>0</v>
      </c>
      <c r="D9" s="137">
        <f>'CUSE Grant Budget Form'!E105</f>
        <v>0</v>
      </c>
      <c r="E9" s="137">
        <f>'CUSE Grant Budget Form'!F105</f>
        <v>0</v>
      </c>
      <c r="F9" s="411">
        <f>'CUSE Grant Budget Form'!G105</f>
        <v>0</v>
      </c>
      <c r="G9" s="412">
        <f>'CUSE Grant Budget Form'!H105</f>
        <v>0</v>
      </c>
    </row>
    <row r="10" spans="1:7" x14ac:dyDescent="0.2">
      <c r="A10" s="395" t="s">
        <v>416</v>
      </c>
      <c r="B10" s="136">
        <f>'CUSE Grant Budget Form'!C106</f>
        <v>0</v>
      </c>
      <c r="C10" s="137">
        <f>'CUSE Grant Budget Form'!D106</f>
        <v>0</v>
      </c>
      <c r="D10" s="137">
        <f>'CUSE Grant Budget Form'!E106</f>
        <v>0</v>
      </c>
      <c r="E10" s="137">
        <f>'CUSE Grant Budget Form'!F106</f>
        <v>0</v>
      </c>
      <c r="F10" s="411">
        <f>'CUSE Grant Budget Form'!G106</f>
        <v>0</v>
      </c>
      <c r="G10" s="412">
        <f>'CUSE Grant Budget Form'!H106</f>
        <v>0</v>
      </c>
    </row>
    <row r="11" spans="1:7" x14ac:dyDescent="0.2">
      <c r="A11" s="396" t="s">
        <v>413</v>
      </c>
      <c r="B11" s="136">
        <f>'CUSE Grant Budget Form'!C107</f>
        <v>0</v>
      </c>
      <c r="C11" s="137">
        <f>'CUSE Grant Budget Form'!D107</f>
        <v>0</v>
      </c>
      <c r="D11" s="137">
        <f>'CUSE Grant Budget Form'!E107</f>
        <v>0</v>
      </c>
      <c r="E11" s="137">
        <f>'CUSE Grant Budget Form'!F107</f>
        <v>0</v>
      </c>
      <c r="F11" s="411">
        <f>'CUSE Grant Budget Form'!G107</f>
        <v>0</v>
      </c>
      <c r="G11" s="412">
        <f>'CUSE Grant Budget Form'!H107</f>
        <v>0</v>
      </c>
    </row>
    <row r="12" spans="1:7" x14ac:dyDescent="0.2">
      <c r="A12" s="395" t="s">
        <v>414</v>
      </c>
      <c r="B12" s="136">
        <f>'CUSE Grant Budget Form'!C108</f>
        <v>0</v>
      </c>
      <c r="C12" s="137">
        <f>'CUSE Grant Budget Form'!D108</f>
        <v>0</v>
      </c>
      <c r="D12" s="137">
        <f>'CUSE Grant Budget Form'!E108</f>
        <v>0</v>
      </c>
      <c r="E12" s="137">
        <f>'CUSE Grant Budget Form'!F108</f>
        <v>0</v>
      </c>
      <c r="F12" s="411">
        <f>'CUSE Grant Budget Form'!G108</f>
        <v>0</v>
      </c>
      <c r="G12" s="412">
        <f>'CUSE Grant Budget Form'!H108</f>
        <v>0</v>
      </c>
    </row>
    <row r="13" spans="1:7" x14ac:dyDescent="0.2">
      <c r="A13" s="395" t="s">
        <v>418</v>
      </c>
      <c r="B13" s="136">
        <f>'CUSE Grant Budget Form'!C109</f>
        <v>0</v>
      </c>
      <c r="C13" s="137">
        <f>'CUSE Grant Budget Form'!D109</f>
        <v>0</v>
      </c>
      <c r="D13" s="137">
        <f>'CUSE Grant Budget Form'!E109</f>
        <v>0</v>
      </c>
      <c r="E13" s="137">
        <f>'CUSE Grant Budget Form'!F109</f>
        <v>0</v>
      </c>
      <c r="F13" s="411">
        <f>'CUSE Grant Budget Form'!G109</f>
        <v>0</v>
      </c>
      <c r="G13" s="412">
        <f>'CUSE Grant Budget Form'!H109</f>
        <v>0</v>
      </c>
    </row>
    <row r="14" spans="1:7" x14ac:dyDescent="0.2">
      <c r="A14" s="395" t="s">
        <v>415</v>
      </c>
      <c r="B14" s="136">
        <f>'CUSE Grant Budget Form'!C110</f>
        <v>0</v>
      </c>
      <c r="C14" s="137">
        <f>'CUSE Grant Budget Form'!D110</f>
        <v>0</v>
      </c>
      <c r="D14" s="137">
        <f>'CUSE Grant Budget Form'!E110</f>
        <v>0</v>
      </c>
      <c r="E14" s="137">
        <f>'CUSE Grant Budget Form'!F110</f>
        <v>0</v>
      </c>
      <c r="F14" s="411">
        <f>'CUSE Grant Budget Form'!G110</f>
        <v>0</v>
      </c>
      <c r="G14" s="412">
        <f>'CUSE Grant Budget Form'!H110</f>
        <v>0</v>
      </c>
    </row>
    <row r="15" spans="1:7" x14ac:dyDescent="0.2">
      <c r="A15" s="394" t="s">
        <v>159</v>
      </c>
      <c r="B15" s="136">
        <f>'CUSE Grant Budget Form'!C122</f>
        <v>0</v>
      </c>
      <c r="C15" s="137">
        <f>'CUSE Grant Budget Form'!D122</f>
        <v>0</v>
      </c>
      <c r="D15" s="137">
        <f>'CUSE Grant Budget Form'!E122</f>
        <v>0</v>
      </c>
      <c r="E15" s="137">
        <f>'CUSE Grant Budget Form'!F122</f>
        <v>0</v>
      </c>
      <c r="F15" s="411">
        <f>'CUSE Grant Budget Form'!G122</f>
        <v>0</v>
      </c>
      <c r="G15" s="412">
        <f>'CUSE Grant Budget Form'!H122</f>
        <v>0</v>
      </c>
    </row>
    <row r="16" spans="1:7" x14ac:dyDescent="0.2">
      <c r="A16" s="397" t="s">
        <v>162</v>
      </c>
      <c r="B16" s="136">
        <f>'CUSE Grant Budget Form'!C128</f>
        <v>0</v>
      </c>
      <c r="C16" s="137">
        <f>'CUSE Grant Budget Form'!D128</f>
        <v>0</v>
      </c>
      <c r="D16" s="137">
        <f>'CUSE Grant Budget Form'!E128</f>
        <v>0</v>
      </c>
      <c r="E16" s="137">
        <f>'CUSE Grant Budget Form'!F128</f>
        <v>0</v>
      </c>
      <c r="F16" s="411">
        <f>'CUSE Grant Budget Form'!G128</f>
        <v>0</v>
      </c>
      <c r="G16" s="412">
        <f>'CUSE Grant Budget Form'!H128</f>
        <v>0</v>
      </c>
    </row>
    <row r="17" spans="1:7" x14ac:dyDescent="0.2">
      <c r="A17" s="397" t="s">
        <v>165</v>
      </c>
      <c r="B17" s="136">
        <f>'CUSE Grant Budget Form'!C131</f>
        <v>0</v>
      </c>
      <c r="C17" s="137">
        <f>'CUSE Grant Budget Form'!D131</f>
        <v>0</v>
      </c>
      <c r="D17" s="137">
        <f>'CUSE Grant Budget Form'!E131</f>
        <v>0</v>
      </c>
      <c r="E17" s="137">
        <f>'CUSE Grant Budget Form'!F131</f>
        <v>0</v>
      </c>
      <c r="F17" s="411">
        <f>'CUSE Grant Budget Form'!G131</f>
        <v>0</v>
      </c>
      <c r="G17" s="412">
        <f>'CUSE Grant Budget Form'!H131</f>
        <v>0</v>
      </c>
    </row>
    <row r="18" spans="1:7" x14ac:dyDescent="0.2">
      <c r="A18" s="397" t="s">
        <v>166</v>
      </c>
      <c r="B18" s="136">
        <f>'CUSE Grant Budget Form'!C132</f>
        <v>0</v>
      </c>
      <c r="C18" s="137">
        <f>'CUSE Grant Budget Form'!D132</f>
        <v>0</v>
      </c>
      <c r="D18" s="137">
        <f>'CUSE Grant Budget Form'!E132</f>
        <v>0</v>
      </c>
      <c r="E18" s="137">
        <f>'CUSE Grant Budget Form'!F132</f>
        <v>0</v>
      </c>
      <c r="F18" s="411">
        <f>'CUSE Grant Budget Form'!G132</f>
        <v>0</v>
      </c>
      <c r="G18" s="412">
        <f>'CUSE Grant Budget Form'!H132</f>
        <v>0</v>
      </c>
    </row>
    <row r="19" spans="1:7" x14ac:dyDescent="0.2">
      <c r="A19" s="432" t="s">
        <v>168</v>
      </c>
      <c r="B19" s="433">
        <f>'CUSE Grant Budget Form'!C133</f>
        <v>0</v>
      </c>
      <c r="C19" s="434">
        <f>'CUSE Grant Budget Form'!D133</f>
        <v>0</v>
      </c>
      <c r="D19" s="434">
        <f>'CUSE Grant Budget Form'!E133</f>
        <v>0</v>
      </c>
      <c r="E19" s="434">
        <f>'CUSE Grant Budget Form'!F133</f>
        <v>0</v>
      </c>
      <c r="F19" s="435">
        <f>'CUSE Grant Budget Form'!G133</f>
        <v>0</v>
      </c>
      <c r="G19" s="436">
        <f>'CUSE Grant Budget Form'!H133</f>
        <v>0</v>
      </c>
    </row>
    <row r="20" spans="1:7" x14ac:dyDescent="0.2">
      <c r="A20" s="397" t="s">
        <v>170</v>
      </c>
      <c r="B20" s="136">
        <f>'CUSE Grant Budget Form'!C136</f>
        <v>0</v>
      </c>
      <c r="C20" s="137">
        <f>'CUSE Grant Budget Form'!D136</f>
        <v>0</v>
      </c>
      <c r="D20" s="137">
        <f>'CUSE Grant Budget Form'!E136</f>
        <v>0</v>
      </c>
      <c r="E20" s="137">
        <f>'CUSE Grant Budget Form'!F136</f>
        <v>0</v>
      </c>
      <c r="F20" s="411">
        <f>'CUSE Grant Budget Form'!G136</f>
        <v>0</v>
      </c>
      <c r="G20" s="412">
        <f>'CUSE Grant Budget Form'!H136</f>
        <v>0</v>
      </c>
    </row>
    <row r="21" spans="1:7" x14ac:dyDescent="0.2">
      <c r="A21" s="396" t="s">
        <v>457</v>
      </c>
      <c r="B21" s="136">
        <f>'CUSE Grant Budget Form'!C137</f>
        <v>0</v>
      </c>
      <c r="C21" s="137">
        <f>'CUSE Grant Budget Form'!D137</f>
        <v>0</v>
      </c>
      <c r="D21" s="137">
        <f>'CUSE Grant Budget Form'!E137</f>
        <v>0</v>
      </c>
      <c r="E21" s="137">
        <f>'CUSE Grant Budget Form'!F137</f>
        <v>0</v>
      </c>
      <c r="F21" s="411">
        <f>'CUSE Grant Budget Form'!G137</f>
        <v>0</v>
      </c>
      <c r="G21" s="412">
        <f>'CUSE Grant Budget Form'!H137</f>
        <v>0</v>
      </c>
    </row>
    <row r="22" spans="1:7" x14ac:dyDescent="0.2">
      <c r="A22" s="397" t="s">
        <v>171</v>
      </c>
      <c r="B22" s="136">
        <f>'CUSE Grant Budget Form'!C138</f>
        <v>0</v>
      </c>
      <c r="C22" s="137">
        <f>'CUSE Grant Budget Form'!D138</f>
        <v>0</v>
      </c>
      <c r="D22" s="137">
        <f>'CUSE Grant Budget Form'!E138</f>
        <v>0</v>
      </c>
      <c r="E22" s="137">
        <f>'CUSE Grant Budget Form'!F138</f>
        <v>0</v>
      </c>
      <c r="F22" s="411">
        <f>'CUSE Grant Budget Form'!G138</f>
        <v>0</v>
      </c>
      <c r="G22" s="412">
        <f>'CUSE Grant Budget Form'!H138</f>
        <v>0</v>
      </c>
    </row>
    <row r="23" spans="1:7" x14ac:dyDescent="0.2">
      <c r="A23" s="397" t="s">
        <v>172</v>
      </c>
      <c r="B23" s="136">
        <f>'CUSE Grant Budget Form'!C139</f>
        <v>0</v>
      </c>
      <c r="C23" s="137">
        <f>'CUSE Grant Budget Form'!D139</f>
        <v>0</v>
      </c>
      <c r="D23" s="137">
        <f>'CUSE Grant Budget Form'!E139</f>
        <v>0</v>
      </c>
      <c r="E23" s="137">
        <f>'CUSE Grant Budget Form'!F139</f>
        <v>0</v>
      </c>
      <c r="F23" s="411">
        <f>'CUSE Grant Budget Form'!G139</f>
        <v>0</v>
      </c>
      <c r="G23" s="412">
        <f>'CUSE Grant Budget Form'!H139</f>
        <v>0</v>
      </c>
    </row>
    <row r="24" spans="1:7" x14ac:dyDescent="0.2">
      <c r="A24" s="397" t="s">
        <v>175</v>
      </c>
      <c r="B24" s="136">
        <f>'CUSE Grant Budget Form'!C143</f>
        <v>0</v>
      </c>
      <c r="C24" s="137">
        <f>'CUSE Grant Budget Form'!D143</f>
        <v>0</v>
      </c>
      <c r="D24" s="137">
        <f>'CUSE Grant Budget Form'!E143</f>
        <v>0</v>
      </c>
      <c r="E24" s="137">
        <f>'CUSE Grant Budget Form'!F143</f>
        <v>0</v>
      </c>
      <c r="F24" s="411">
        <f>'CUSE Grant Budget Form'!G143</f>
        <v>0</v>
      </c>
      <c r="G24" s="412">
        <f>'CUSE Grant Budget Form'!H143</f>
        <v>0</v>
      </c>
    </row>
    <row r="25" spans="1:7" x14ac:dyDescent="0.2">
      <c r="A25" s="397" t="s">
        <v>176</v>
      </c>
      <c r="B25" s="136">
        <f>'CUSE Grant Budget Form'!C144</f>
        <v>0</v>
      </c>
      <c r="C25" s="137">
        <f>'CUSE Grant Budget Form'!D144</f>
        <v>0</v>
      </c>
      <c r="D25" s="137">
        <f>'CUSE Grant Budget Form'!E144</f>
        <v>0</v>
      </c>
      <c r="E25" s="137">
        <f>'CUSE Grant Budget Form'!F144</f>
        <v>0</v>
      </c>
      <c r="F25" s="411">
        <f>'CUSE Grant Budget Form'!G144</f>
        <v>0</v>
      </c>
      <c r="G25" s="412">
        <f>'CUSE Grant Budget Form'!H144</f>
        <v>0</v>
      </c>
    </row>
    <row r="26" spans="1:7" x14ac:dyDescent="0.2">
      <c r="A26" s="397" t="s">
        <v>177</v>
      </c>
      <c r="B26" s="136">
        <f>'CUSE Grant Budget Form'!C146</f>
        <v>0</v>
      </c>
      <c r="C26" s="137">
        <f>'CUSE Grant Budget Form'!D146</f>
        <v>0</v>
      </c>
      <c r="D26" s="137">
        <f>'CUSE Grant Budget Form'!E146</f>
        <v>0</v>
      </c>
      <c r="E26" s="137">
        <f>'CUSE Grant Budget Form'!F146</f>
        <v>0</v>
      </c>
      <c r="F26" s="411">
        <f>'CUSE Grant Budget Form'!G146</f>
        <v>0</v>
      </c>
      <c r="G26" s="412">
        <f>'CUSE Grant Budget Form'!H146</f>
        <v>0</v>
      </c>
    </row>
    <row r="27" spans="1:7" x14ac:dyDescent="0.2">
      <c r="A27" s="397" t="s">
        <v>178</v>
      </c>
      <c r="B27" s="136">
        <f>'CUSE Grant Budget Form'!C147</f>
        <v>0</v>
      </c>
      <c r="C27" s="137">
        <f>'CUSE Grant Budget Form'!D147</f>
        <v>0</v>
      </c>
      <c r="D27" s="137">
        <f>'CUSE Grant Budget Form'!E147</f>
        <v>0</v>
      </c>
      <c r="E27" s="137">
        <f>'CUSE Grant Budget Form'!F147</f>
        <v>0</v>
      </c>
      <c r="F27" s="411">
        <f>'CUSE Grant Budget Form'!G147</f>
        <v>0</v>
      </c>
      <c r="G27" s="412">
        <f>'CUSE Grant Budget Form'!H147</f>
        <v>0</v>
      </c>
    </row>
    <row r="28" spans="1:7" x14ac:dyDescent="0.2">
      <c r="A28" s="397" t="s">
        <v>179</v>
      </c>
      <c r="B28" s="136">
        <f>'CUSE Grant Budget Form'!C148</f>
        <v>0</v>
      </c>
      <c r="C28" s="137">
        <f>'CUSE Grant Budget Form'!D148</f>
        <v>0</v>
      </c>
      <c r="D28" s="137">
        <f>'CUSE Grant Budget Form'!E148</f>
        <v>0</v>
      </c>
      <c r="E28" s="137">
        <f>'CUSE Grant Budget Form'!F148</f>
        <v>0</v>
      </c>
      <c r="F28" s="411">
        <f>'CUSE Grant Budget Form'!G148</f>
        <v>0</v>
      </c>
      <c r="G28" s="412">
        <f>'CUSE Grant Budget Form'!H148</f>
        <v>0</v>
      </c>
    </row>
    <row r="29" spans="1:7" x14ac:dyDescent="0.2">
      <c r="A29" s="396" t="s">
        <v>423</v>
      </c>
      <c r="B29" s="136">
        <f>'CUSE Grant Budget Form'!C150</f>
        <v>0</v>
      </c>
      <c r="C29" s="137">
        <f>'CUSE Grant Budget Form'!D150</f>
        <v>0</v>
      </c>
      <c r="D29" s="137">
        <f>'CUSE Grant Budget Form'!E150</f>
        <v>0</v>
      </c>
      <c r="E29" s="137">
        <f>'CUSE Grant Budget Form'!F150</f>
        <v>0</v>
      </c>
      <c r="F29" s="411">
        <f>'CUSE Grant Budget Form'!G150</f>
        <v>0</v>
      </c>
      <c r="G29" s="412">
        <f>'CUSE Grant Budget Form'!H150</f>
        <v>0</v>
      </c>
    </row>
    <row r="30" spans="1:7" x14ac:dyDescent="0.2">
      <c r="A30" s="396" t="s">
        <v>424</v>
      </c>
      <c r="B30" s="136">
        <f>'CUSE Grant Budget Form'!C151</f>
        <v>0</v>
      </c>
      <c r="C30" s="137">
        <f>'CUSE Grant Budget Form'!D151</f>
        <v>0</v>
      </c>
      <c r="D30" s="137">
        <f>'CUSE Grant Budget Form'!E151</f>
        <v>0</v>
      </c>
      <c r="E30" s="137">
        <f>'CUSE Grant Budget Form'!F151</f>
        <v>0</v>
      </c>
      <c r="F30" s="411">
        <f>'CUSE Grant Budget Form'!G151</f>
        <v>0</v>
      </c>
      <c r="G30" s="412">
        <f>'CUSE Grant Budget Form'!H151</f>
        <v>0</v>
      </c>
    </row>
    <row r="31" spans="1:7" x14ac:dyDescent="0.2">
      <c r="A31" s="397" t="s">
        <v>183</v>
      </c>
      <c r="B31" s="136">
        <f>'CUSE Grant Budget Form'!C152</f>
        <v>0</v>
      </c>
      <c r="C31" s="137">
        <f>'CUSE Grant Budget Form'!D152</f>
        <v>0</v>
      </c>
      <c r="D31" s="137">
        <f>'CUSE Grant Budget Form'!E152</f>
        <v>0</v>
      </c>
      <c r="E31" s="137">
        <f>'CUSE Grant Budget Form'!F152</f>
        <v>0</v>
      </c>
      <c r="F31" s="411">
        <f>'CUSE Grant Budget Form'!G152</f>
        <v>0</v>
      </c>
      <c r="G31" s="412">
        <f>'CUSE Grant Budget Form'!H152</f>
        <v>0</v>
      </c>
    </row>
    <row r="32" spans="1:7" x14ac:dyDescent="0.2">
      <c r="A32" s="396" t="s">
        <v>426</v>
      </c>
      <c r="B32" s="136">
        <f>'CUSE Grant Budget Form'!C153</f>
        <v>0</v>
      </c>
      <c r="C32" s="137">
        <f>'CUSE Grant Budget Form'!D153</f>
        <v>0</v>
      </c>
      <c r="D32" s="137">
        <f>'CUSE Grant Budget Form'!E153</f>
        <v>0</v>
      </c>
      <c r="E32" s="137">
        <f>'CUSE Grant Budget Form'!F153</f>
        <v>0</v>
      </c>
      <c r="F32" s="411">
        <f>'CUSE Grant Budget Form'!G153</f>
        <v>0</v>
      </c>
      <c r="G32" s="412">
        <f>'CUSE Grant Budget Form'!H153</f>
        <v>0</v>
      </c>
    </row>
    <row r="33" spans="1:7" x14ac:dyDescent="0.2">
      <c r="A33" s="397" t="s">
        <v>425</v>
      </c>
      <c r="B33" s="136">
        <f>'CUSE Grant Budget Form'!C154</f>
        <v>0</v>
      </c>
      <c r="C33" s="137">
        <f>'CUSE Grant Budget Form'!D154</f>
        <v>0</v>
      </c>
      <c r="D33" s="137">
        <f>'CUSE Grant Budget Form'!E154</f>
        <v>0</v>
      </c>
      <c r="E33" s="137">
        <f>'CUSE Grant Budget Form'!F154</f>
        <v>0</v>
      </c>
      <c r="F33" s="411">
        <f>'CUSE Grant Budget Form'!G154</f>
        <v>0</v>
      </c>
      <c r="G33" s="412">
        <f>'CUSE Grant Budget Form'!H154</f>
        <v>0</v>
      </c>
    </row>
    <row r="34" spans="1:7" x14ac:dyDescent="0.2">
      <c r="A34" s="396" t="s">
        <v>428</v>
      </c>
      <c r="B34" s="136">
        <f>'CUSE Grant Budget Form'!C155</f>
        <v>0</v>
      </c>
      <c r="C34" s="137">
        <f>'CUSE Grant Budget Form'!D155</f>
        <v>0</v>
      </c>
      <c r="D34" s="137">
        <f>'CUSE Grant Budget Form'!E155</f>
        <v>0</v>
      </c>
      <c r="E34" s="137">
        <f>'CUSE Grant Budget Form'!F155</f>
        <v>0</v>
      </c>
      <c r="F34" s="411">
        <f>'CUSE Grant Budget Form'!G155</f>
        <v>0</v>
      </c>
      <c r="G34" s="412">
        <f>'CUSE Grant Budget Form'!H155</f>
        <v>0</v>
      </c>
    </row>
    <row r="35" spans="1:7" x14ac:dyDescent="0.2">
      <c r="A35" s="396" t="s">
        <v>180</v>
      </c>
      <c r="B35" s="136">
        <f>'CUSE Grant Budget Form'!C156</f>
        <v>0</v>
      </c>
      <c r="C35" s="137">
        <f>'CUSE Grant Budget Form'!D156</f>
        <v>0</v>
      </c>
      <c r="D35" s="137">
        <f>'CUSE Grant Budget Form'!E156</f>
        <v>0</v>
      </c>
      <c r="E35" s="137">
        <f>'CUSE Grant Budget Form'!F156</f>
        <v>0</v>
      </c>
      <c r="F35" s="411">
        <f>'CUSE Grant Budget Form'!G156</f>
        <v>0</v>
      </c>
      <c r="G35" s="412">
        <f>'CUSE Grant Budget Form'!H156</f>
        <v>0</v>
      </c>
    </row>
    <row r="36" spans="1:7" x14ac:dyDescent="0.2">
      <c r="A36" s="396" t="s">
        <v>181</v>
      </c>
      <c r="B36" s="136">
        <f>'CUSE Grant Budget Form'!C157</f>
        <v>0</v>
      </c>
      <c r="C36" s="137">
        <f>'CUSE Grant Budget Form'!D157</f>
        <v>0</v>
      </c>
      <c r="D36" s="137">
        <f>'CUSE Grant Budget Form'!E157</f>
        <v>0</v>
      </c>
      <c r="E36" s="137">
        <f>'CUSE Grant Budget Form'!F157</f>
        <v>0</v>
      </c>
      <c r="F36" s="411">
        <f>'CUSE Grant Budget Form'!G157</f>
        <v>0</v>
      </c>
      <c r="G36" s="412">
        <f>'CUSE Grant Budget Form'!H157</f>
        <v>0</v>
      </c>
    </row>
    <row r="37" spans="1:7" x14ac:dyDescent="0.2">
      <c r="A37" s="396" t="s">
        <v>182</v>
      </c>
      <c r="B37" s="136">
        <f>'CUSE Grant Budget Form'!C158</f>
        <v>0</v>
      </c>
      <c r="C37" s="137">
        <f>'CUSE Grant Budget Form'!D158</f>
        <v>0</v>
      </c>
      <c r="D37" s="137">
        <f>'CUSE Grant Budget Form'!E158</f>
        <v>0</v>
      </c>
      <c r="E37" s="137">
        <f>'CUSE Grant Budget Form'!F158</f>
        <v>0</v>
      </c>
      <c r="F37" s="411">
        <f>'CUSE Grant Budget Form'!G158</f>
        <v>0</v>
      </c>
      <c r="G37" s="412">
        <f>'CUSE Grant Budget Form'!H158</f>
        <v>0</v>
      </c>
    </row>
    <row r="38" spans="1:7" x14ac:dyDescent="0.2">
      <c r="A38" s="396" t="s">
        <v>184</v>
      </c>
      <c r="B38" s="136">
        <f>'CUSE Grant Budget Form'!C159</f>
        <v>0</v>
      </c>
      <c r="C38" s="137">
        <f>'CUSE Grant Budget Form'!D159</f>
        <v>0</v>
      </c>
      <c r="D38" s="137">
        <f>'CUSE Grant Budget Form'!E159</f>
        <v>0</v>
      </c>
      <c r="E38" s="137">
        <f>'CUSE Grant Budget Form'!F159</f>
        <v>0</v>
      </c>
      <c r="F38" s="411">
        <f>'CUSE Grant Budget Form'!G159</f>
        <v>0</v>
      </c>
      <c r="G38" s="412">
        <f>'CUSE Grant Budget Form'!H159</f>
        <v>0</v>
      </c>
    </row>
    <row r="39" spans="1:7" x14ac:dyDescent="0.2">
      <c r="A39" s="432" t="s">
        <v>185</v>
      </c>
      <c r="B39" s="433">
        <f>'CUSE Grant Budget Form'!C160</f>
        <v>0</v>
      </c>
      <c r="C39" s="434">
        <f>'CUSE Grant Budget Form'!D160</f>
        <v>0</v>
      </c>
      <c r="D39" s="434">
        <f>'CUSE Grant Budget Form'!E160</f>
        <v>0</v>
      </c>
      <c r="E39" s="434">
        <f>'CUSE Grant Budget Form'!F160</f>
        <v>0</v>
      </c>
      <c r="F39" s="435">
        <f>'CUSE Grant Budget Form'!G160</f>
        <v>0</v>
      </c>
      <c r="G39" s="436">
        <f>'CUSE Grant Budget Form'!H160</f>
        <v>0</v>
      </c>
    </row>
    <row r="40" spans="1:7" ht="13.5" thickBot="1" x14ac:dyDescent="0.25">
      <c r="A40" s="404" t="s">
        <v>195</v>
      </c>
      <c r="B40" s="413">
        <f>'CUSE Grant Budget Form'!C173</f>
        <v>0</v>
      </c>
      <c r="C40" s="414">
        <f>'CUSE Grant Budget Form'!D173</f>
        <v>0</v>
      </c>
      <c r="D40" s="414">
        <f>'CUSE Grant Budget Form'!E173</f>
        <v>0</v>
      </c>
      <c r="E40" s="414">
        <f>'CUSE Grant Budget Form'!F173</f>
        <v>0</v>
      </c>
      <c r="F40" s="415">
        <f>'CUSE Grant Budget Form'!G173</f>
        <v>0</v>
      </c>
      <c r="G40" s="416">
        <f>'CUSE Grant Budget Form'!H173</f>
        <v>0</v>
      </c>
    </row>
    <row r="41" spans="1:7" ht="13.5" thickBot="1" x14ac:dyDescent="0.25">
      <c r="A41" s="399" t="s">
        <v>40</v>
      </c>
      <c r="B41" s="417">
        <f>SUM(B4:B16,B19:B34,B39:B40)</f>
        <v>0</v>
      </c>
      <c r="C41" s="417">
        <f t="shared" ref="C41:G41" si="0">SUM(C4:C16,C19:C34,C39:C40)</f>
        <v>0</v>
      </c>
      <c r="D41" s="417">
        <f t="shared" si="0"/>
        <v>0</v>
      </c>
      <c r="E41" s="417">
        <f t="shared" si="0"/>
        <v>0</v>
      </c>
      <c r="F41" s="431">
        <f t="shared" si="0"/>
        <v>0</v>
      </c>
      <c r="G41" s="418">
        <f t="shared" si="0"/>
        <v>0</v>
      </c>
    </row>
  </sheetData>
  <sheetProtection algorithmName="SHA-512" hashValue="wu447BHKAES0zFPgzAhHgH0mB3rkKCzItaK6JMbCn6pFbeRsxlUNh87AQtc1uHZLCnBPbDCAmNFG/3O3qKe6tg==" saltValue="JiNA8008V4AKwcJiBYTDAg==" spinCount="100000" sheet="1" objects="1" scenarios="1"/>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Q12"/>
  <sheetViews>
    <sheetView topLeftCell="C1" workbookViewId="0">
      <selection activeCell="D1" sqref="D1"/>
    </sheetView>
  </sheetViews>
  <sheetFormatPr defaultRowHeight="12.75" x14ac:dyDescent="0.2"/>
  <cols>
    <col min="1" max="1" width="4.28515625" bestFit="1" customWidth="1"/>
    <col min="2" max="2" width="10.7109375" customWidth="1"/>
    <col min="3" max="3" width="11" bestFit="1" customWidth="1"/>
    <col min="4" max="4" width="9.28515625" bestFit="1" customWidth="1"/>
    <col min="5" max="5" width="4.28515625" bestFit="1" customWidth="1"/>
    <col min="6" max="6" width="29.85546875" style="201" bestFit="1" customWidth="1"/>
    <col min="7" max="7" width="21.5703125" style="201" bestFit="1" customWidth="1"/>
    <col min="8" max="8" width="9.28515625" bestFit="1" customWidth="1"/>
    <col min="9" max="9" width="29.85546875" style="203" bestFit="1" customWidth="1"/>
    <col min="10" max="10" width="21.5703125" style="203" bestFit="1" customWidth="1"/>
    <col min="11" max="11" width="10.7109375" style="203" bestFit="1" customWidth="1"/>
    <col min="12" max="12" width="14" bestFit="1" customWidth="1"/>
    <col min="14" max="14" width="12" bestFit="1" customWidth="1"/>
    <col min="15" max="15" width="12.140625" bestFit="1" customWidth="1"/>
    <col min="16" max="16" width="14.85546875" bestFit="1" customWidth="1"/>
    <col min="17" max="17" width="14.42578125" bestFit="1" customWidth="1"/>
  </cols>
  <sheetData>
    <row r="1" spans="1:17" x14ac:dyDescent="0.2">
      <c r="A1" s="5" t="s">
        <v>108</v>
      </c>
      <c r="B1" s="5" t="s">
        <v>107</v>
      </c>
      <c r="C1" s="5"/>
      <c r="D1" s="65" t="s">
        <v>411</v>
      </c>
      <c r="E1" s="5"/>
      <c r="F1" s="5" t="s">
        <v>254</v>
      </c>
      <c r="G1" s="5"/>
      <c r="H1" s="5" t="s">
        <v>106</v>
      </c>
      <c r="I1" s="5" t="s">
        <v>265</v>
      </c>
      <c r="J1" s="5"/>
      <c r="K1" s="5" t="s">
        <v>264</v>
      </c>
      <c r="L1" s="5" t="s">
        <v>105</v>
      </c>
      <c r="M1" s="5" t="s">
        <v>110</v>
      </c>
      <c r="N1" s="5" t="s">
        <v>112</v>
      </c>
      <c r="P1" s="5" t="s">
        <v>450</v>
      </c>
      <c r="Q1" s="5" t="s">
        <v>453</v>
      </c>
    </row>
    <row r="2" spans="1:17" x14ac:dyDescent="0.2">
      <c r="A2" t="s">
        <v>53</v>
      </c>
      <c r="B2" t="s">
        <v>469</v>
      </c>
      <c r="C2" s="253" t="s">
        <v>460</v>
      </c>
      <c r="D2" s="456">
        <v>0.20399999999999999</v>
      </c>
      <c r="E2" t="s">
        <v>74</v>
      </c>
      <c r="F2" s="253" t="s">
        <v>494</v>
      </c>
      <c r="G2" s="201" t="s">
        <v>255</v>
      </c>
      <c r="H2" s="448">
        <v>0.26</v>
      </c>
      <c r="I2" s="253" t="s">
        <v>494</v>
      </c>
      <c r="J2" s="203" t="s">
        <v>255</v>
      </c>
      <c r="K2" s="448">
        <v>0.26</v>
      </c>
      <c r="L2" t="s">
        <v>97</v>
      </c>
      <c r="M2" s="455">
        <v>1</v>
      </c>
      <c r="N2" s="455">
        <v>1500</v>
      </c>
      <c r="O2" s="253" t="s">
        <v>510</v>
      </c>
      <c r="P2" s="253">
        <v>0</v>
      </c>
      <c r="Q2" s="325">
        <v>47484</v>
      </c>
    </row>
    <row r="3" spans="1:17" x14ac:dyDescent="0.2">
      <c r="A3" t="s">
        <v>57</v>
      </c>
      <c r="B3" t="s">
        <v>470</v>
      </c>
      <c r="C3" s="253" t="s">
        <v>459</v>
      </c>
      <c r="D3" s="456">
        <v>0.20399999999999999</v>
      </c>
      <c r="F3" s="253" t="s">
        <v>495</v>
      </c>
      <c r="G3" s="201" t="s">
        <v>260</v>
      </c>
      <c r="H3" s="448">
        <v>0.34</v>
      </c>
      <c r="I3" s="253" t="s">
        <v>495</v>
      </c>
      <c r="J3" s="203" t="s">
        <v>260</v>
      </c>
      <c r="K3" s="448">
        <v>0.34</v>
      </c>
      <c r="L3" t="s">
        <v>98</v>
      </c>
      <c r="M3" s="455">
        <v>2</v>
      </c>
      <c r="N3" s="455"/>
      <c r="O3" s="253"/>
      <c r="P3" s="325">
        <v>189600</v>
      </c>
    </row>
    <row r="4" spans="1:17" s="332" customFormat="1" x14ac:dyDescent="0.2">
      <c r="B4" t="s">
        <v>46</v>
      </c>
      <c r="C4" s="332" t="s">
        <v>241</v>
      </c>
      <c r="D4" s="456">
        <v>0.20399999999999999</v>
      </c>
      <c r="E4"/>
      <c r="F4" s="253" t="s">
        <v>496</v>
      </c>
      <c r="G4" s="201" t="s">
        <v>256</v>
      </c>
      <c r="H4" s="448">
        <v>0.26</v>
      </c>
      <c r="I4" s="253" t="s">
        <v>496</v>
      </c>
      <c r="J4" s="203" t="s">
        <v>256</v>
      </c>
      <c r="K4" s="448">
        <v>0.26</v>
      </c>
      <c r="L4" t="s">
        <v>99</v>
      </c>
      <c r="M4" s="455">
        <v>3</v>
      </c>
      <c r="N4" s="455"/>
      <c r="O4" s="253"/>
      <c r="P4"/>
      <c r="Q4"/>
    </row>
    <row r="5" spans="1:17" x14ac:dyDescent="0.2">
      <c r="A5" t="s">
        <v>56</v>
      </c>
      <c r="B5" t="s">
        <v>47</v>
      </c>
      <c r="C5" t="s">
        <v>432</v>
      </c>
      <c r="D5" s="456">
        <v>0.13500000000000001</v>
      </c>
      <c r="F5" s="192" t="s">
        <v>261</v>
      </c>
      <c r="G5" s="201" t="s">
        <v>257</v>
      </c>
      <c r="H5" s="448">
        <v>0.35</v>
      </c>
      <c r="I5" s="192" t="s">
        <v>261</v>
      </c>
      <c r="J5" s="203" t="s">
        <v>257</v>
      </c>
      <c r="K5" s="448">
        <v>0.35</v>
      </c>
      <c r="L5" t="s">
        <v>100</v>
      </c>
      <c r="M5" s="455">
        <v>4</v>
      </c>
      <c r="N5" s="455"/>
      <c r="O5" s="253"/>
    </row>
    <row r="6" spans="1:17" x14ac:dyDescent="0.2">
      <c r="A6" t="s">
        <v>55</v>
      </c>
      <c r="C6" t="s">
        <v>70</v>
      </c>
      <c r="D6" s="457">
        <v>0.36299999999999999</v>
      </c>
      <c r="F6" s="192" t="s">
        <v>262</v>
      </c>
      <c r="G6" s="201" t="s">
        <v>258</v>
      </c>
      <c r="H6" s="448">
        <v>0.26</v>
      </c>
      <c r="I6" s="192" t="s">
        <v>262</v>
      </c>
      <c r="J6" s="203" t="s">
        <v>258</v>
      </c>
      <c r="K6" s="448">
        <v>0.26</v>
      </c>
      <c r="L6" t="s">
        <v>101</v>
      </c>
      <c r="M6" s="455">
        <v>5</v>
      </c>
      <c r="N6" s="455"/>
      <c r="O6" s="455"/>
    </row>
    <row r="7" spans="1:17" x14ac:dyDescent="0.2">
      <c r="A7" t="s">
        <v>54</v>
      </c>
      <c r="C7" t="s">
        <v>69</v>
      </c>
      <c r="D7" s="457">
        <v>0.23400000000000001</v>
      </c>
      <c r="F7" s="192" t="s">
        <v>263</v>
      </c>
      <c r="G7" s="201" t="s">
        <v>259</v>
      </c>
      <c r="H7" s="448">
        <v>0.5</v>
      </c>
      <c r="I7" s="192" t="s">
        <v>263</v>
      </c>
      <c r="J7" s="203" t="s">
        <v>259</v>
      </c>
      <c r="K7" s="448">
        <v>0.5</v>
      </c>
      <c r="L7" t="s">
        <v>102</v>
      </c>
    </row>
    <row r="8" spans="1:17" x14ac:dyDescent="0.2">
      <c r="A8" t="s">
        <v>58</v>
      </c>
      <c r="C8" t="s">
        <v>71</v>
      </c>
      <c r="D8" s="457">
        <v>7.6499999999999999E-2</v>
      </c>
    </row>
    <row r="10" spans="1:17" x14ac:dyDescent="0.2">
      <c r="C10" s="253"/>
      <c r="D10" s="26"/>
      <c r="N10" s="204"/>
    </row>
    <row r="12" spans="1:17" x14ac:dyDescent="0.2">
      <c r="C12" s="332"/>
      <c r="D12" s="26"/>
    </row>
  </sheetData>
  <phoneticPr fontId="5"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2"/>
  <sheetViews>
    <sheetView workbookViewId="0"/>
  </sheetViews>
  <sheetFormatPr defaultRowHeight="12.75" x14ac:dyDescent="0.2"/>
  <cols>
    <col min="1" max="1" width="31.28515625" style="194" customWidth="1"/>
    <col min="2" max="2" width="70" style="193" customWidth="1"/>
  </cols>
  <sheetData>
    <row r="1" spans="1:2" s="191" customFormat="1" x14ac:dyDescent="0.2">
      <c r="A1" s="195" t="s">
        <v>252</v>
      </c>
      <c r="B1" s="196"/>
    </row>
    <row r="2" spans="1:2" s="191" customFormat="1" x14ac:dyDescent="0.2">
      <c r="A2" s="197"/>
      <c r="B2" s="196"/>
    </row>
    <row r="3" spans="1:2" x14ac:dyDescent="0.2">
      <c r="A3" s="195" t="str">
        <f>'Personnel Yr 1'!B5</f>
        <v>A. Senior/Key Person</v>
      </c>
      <c r="B3" s="198" t="s">
        <v>251</v>
      </c>
    </row>
    <row r="4" spans="1:2" ht="26.45" customHeight="1" x14ac:dyDescent="0.2">
      <c r="A4" s="197" t="str">
        <f>'Personnel Yr 1'!A7 &amp; ". " &amp; 'Personnel Yr 1'!C7 &amp; " " &amp; 'Personnel Yr 1'!E7</f>
        <v xml:space="preserve">1.  </v>
      </c>
      <c r="B4" s="199">
        <f>'Personnel Yr 1'!O7</f>
        <v>0</v>
      </c>
    </row>
    <row r="5" spans="1:2" ht="26.45" customHeight="1" x14ac:dyDescent="0.2">
      <c r="A5" s="197" t="str">
        <f>'Personnel Yr 1'!A8 &amp; ". " &amp; 'Personnel Yr 1'!C8 &amp; " " &amp; 'Personnel Yr 1'!E8</f>
        <v xml:space="preserve">2.  </v>
      </c>
      <c r="B5" s="200">
        <f>'Personnel Yr 1'!O8</f>
        <v>0</v>
      </c>
    </row>
    <row r="6" spans="1:2" ht="26.45" customHeight="1" x14ac:dyDescent="0.2">
      <c r="A6" s="197" t="str">
        <f>'Personnel Yr 1'!A9 &amp; ". " &amp; 'Personnel Yr 1'!C9 &amp; " " &amp; 'Personnel Yr 1'!E9</f>
        <v xml:space="preserve">3.  </v>
      </c>
      <c r="B6" s="200">
        <f>'Personnel Yr 1'!O9</f>
        <v>0</v>
      </c>
    </row>
    <row r="7" spans="1:2" ht="26.45" customHeight="1" x14ac:dyDescent="0.2">
      <c r="A7" s="197" t="str">
        <f>'Personnel Yr 1'!A10 &amp; ". " &amp; 'Personnel Yr 1'!C10 &amp; " " &amp; 'Personnel Yr 1'!E10</f>
        <v xml:space="preserve">4.  </v>
      </c>
      <c r="B7" s="200">
        <f>'Personnel Yr 1'!O10</f>
        <v>0</v>
      </c>
    </row>
    <row r="8" spans="1:2" ht="26.45" customHeight="1" x14ac:dyDescent="0.2">
      <c r="A8" s="197" t="str">
        <f>'Personnel Yr 1'!A11 &amp; ". " &amp; 'Personnel Yr 1'!C11 &amp; " " &amp; 'Personnel Yr 1'!E11</f>
        <v xml:space="preserve">5.  </v>
      </c>
      <c r="B8" s="200">
        <f>'Personnel Yr 1'!O11</f>
        <v>0</v>
      </c>
    </row>
    <row r="9" spans="1:2" ht="26.45" customHeight="1" x14ac:dyDescent="0.2">
      <c r="A9" s="197" t="str">
        <f>'Personnel Yr 1'!A12 &amp; ". " &amp; 'Personnel Yr 1'!C12 &amp; " " &amp; 'Personnel Yr 1'!E12</f>
        <v xml:space="preserve">6.  </v>
      </c>
      <c r="B9" s="200">
        <f>'Personnel Yr 1'!O12</f>
        <v>0</v>
      </c>
    </row>
    <row r="10" spans="1:2" ht="26.45" customHeight="1" x14ac:dyDescent="0.2">
      <c r="A10" s="197" t="str">
        <f>'Personnel Yr 1'!A13 &amp; ". " &amp; 'Personnel Yr 1'!C13 &amp; " " &amp; 'Personnel Yr 1'!E13</f>
        <v xml:space="preserve">7.  </v>
      </c>
      <c r="B10" s="200">
        <f>'Personnel Yr 1'!O13</f>
        <v>0</v>
      </c>
    </row>
    <row r="11" spans="1:2" ht="26.45" customHeight="1" x14ac:dyDescent="0.2">
      <c r="A11" s="197" t="str">
        <f>'Personnel Yr 1'!A14 &amp; ". " &amp; 'Personnel Yr 1'!C14 &amp; " " &amp; 'Personnel Yr 1'!E14</f>
        <v xml:space="preserve">8.  </v>
      </c>
      <c r="B11" s="200">
        <f>'Personnel Yr 1'!O14</f>
        <v>0</v>
      </c>
    </row>
    <row r="12" spans="1:2" x14ac:dyDescent="0.2">
      <c r="A12" s="197"/>
      <c r="B12" s="200"/>
    </row>
    <row r="13" spans="1:2" x14ac:dyDescent="0.2">
      <c r="A13" s="195" t="str">
        <f>'Personnel Yr 1'!B42</f>
        <v>9. Additional Senior/Key Personnel</v>
      </c>
      <c r="B13" s="198" t="s">
        <v>251</v>
      </c>
    </row>
    <row r="14" spans="1:2" ht="26.45" customHeight="1" x14ac:dyDescent="0.2">
      <c r="A14" s="197" t="str">
        <f>'Personnel Yr 1'!A44 &amp; ". " &amp; 'Personnel Yr 1'!C44 &amp; " " &amp; 'Personnel Yr 1'!E44</f>
        <v xml:space="preserve">1.  </v>
      </c>
      <c r="B14" s="200">
        <f>'Personnel Yr 1'!O44</f>
        <v>0</v>
      </c>
    </row>
    <row r="15" spans="1:2" ht="26.45" customHeight="1" x14ac:dyDescent="0.2">
      <c r="A15" s="197" t="str">
        <f>'Personnel Yr 1'!A45 &amp; ". " &amp; 'Personnel Yr 1'!C45 &amp; " " &amp; 'Personnel Yr 1'!E45</f>
        <v xml:space="preserve">2.  </v>
      </c>
      <c r="B15" s="200">
        <f>'Personnel Yr 1'!O45</f>
        <v>0</v>
      </c>
    </row>
    <row r="16" spans="1:2" ht="26.45" customHeight="1" x14ac:dyDescent="0.2">
      <c r="A16" s="197" t="str">
        <f>'Personnel Yr 1'!A46 &amp; ". " &amp; 'Personnel Yr 1'!C46 &amp; " " &amp; 'Personnel Yr 1'!E46</f>
        <v xml:space="preserve">3.  </v>
      </c>
      <c r="B16" s="200">
        <f>'Personnel Yr 1'!O46</f>
        <v>0</v>
      </c>
    </row>
    <row r="17" spans="1:2" ht="26.45" customHeight="1" x14ac:dyDescent="0.2">
      <c r="A17" s="197" t="str">
        <f>'Personnel Yr 1'!A47 &amp; ". " &amp; 'Personnel Yr 1'!C47 &amp; " " &amp; 'Personnel Yr 1'!E47</f>
        <v xml:space="preserve">4.  </v>
      </c>
      <c r="B17" s="200">
        <f>'Personnel Yr 1'!O47</f>
        <v>0</v>
      </c>
    </row>
    <row r="18" spans="1:2" ht="26.45" customHeight="1" x14ac:dyDescent="0.2">
      <c r="A18" s="197" t="str">
        <f>'Personnel Yr 1'!A48 &amp; ". " &amp; 'Personnel Yr 1'!C48 &amp; " " &amp; 'Personnel Yr 1'!E48</f>
        <v xml:space="preserve">5.  </v>
      </c>
      <c r="B18" s="200">
        <f>'Personnel Yr 1'!O48</f>
        <v>0</v>
      </c>
    </row>
    <row r="19" spans="1:2" ht="26.45" customHeight="1" x14ac:dyDescent="0.2">
      <c r="A19" s="197" t="str">
        <f>'Personnel Yr 1'!A49 &amp; ". " &amp; 'Personnel Yr 1'!C49 &amp; " " &amp; 'Personnel Yr 1'!E49</f>
        <v xml:space="preserve">6.  </v>
      </c>
      <c r="B19" s="200">
        <f>'Personnel Yr 1'!O49</f>
        <v>0</v>
      </c>
    </row>
    <row r="20" spans="1:2" ht="26.45" customHeight="1" x14ac:dyDescent="0.2">
      <c r="A20" s="197" t="str">
        <f>'Personnel Yr 1'!A50 &amp; ". " &amp; 'Personnel Yr 1'!C50 &amp; " " &amp; 'Personnel Yr 1'!E50</f>
        <v xml:space="preserve">7.  </v>
      </c>
      <c r="B20" s="200">
        <f>'Personnel Yr 1'!O50</f>
        <v>0</v>
      </c>
    </row>
    <row r="21" spans="1:2" ht="26.45" customHeight="1" x14ac:dyDescent="0.2">
      <c r="A21" s="197" t="str">
        <f>'Personnel Yr 1'!A51 &amp; ". " &amp; 'Personnel Yr 1'!C51 &amp; " " &amp; 'Personnel Yr 1'!E51</f>
        <v xml:space="preserve">8.  </v>
      </c>
      <c r="B21" s="200">
        <f>'Personnel Yr 1'!O51</f>
        <v>0</v>
      </c>
    </row>
    <row r="22" spans="1:2" ht="26.45" customHeight="1" x14ac:dyDescent="0.2">
      <c r="A22" s="197" t="str">
        <f>'Personnel Yr 1'!A52 &amp; ". " &amp; 'Personnel Yr 1'!C52 &amp; " " &amp; 'Personnel Yr 1'!E52</f>
        <v xml:space="preserve">9.  </v>
      </c>
      <c r="B22" s="200">
        <f>'Personnel Yr 1'!O52</f>
        <v>0</v>
      </c>
    </row>
    <row r="23" spans="1:2" ht="26.45" customHeight="1" x14ac:dyDescent="0.2">
      <c r="A23" s="197" t="str">
        <f>'Personnel Yr 1'!A53 &amp; ". " &amp; 'Personnel Yr 1'!C53 &amp; " " &amp; 'Personnel Yr 1'!E53</f>
        <v xml:space="preserve">10.  </v>
      </c>
      <c r="B23" s="200">
        <f>'Personnel Yr 1'!O53</f>
        <v>0</v>
      </c>
    </row>
    <row r="24" spans="1:2" ht="26.45" customHeight="1" x14ac:dyDescent="0.2">
      <c r="A24" s="197" t="str">
        <f>'Personnel Yr 1'!A54 &amp; ". " &amp; 'Personnel Yr 1'!C54 &amp; " " &amp; 'Personnel Yr 1'!E54</f>
        <v xml:space="preserve">11.  </v>
      </c>
      <c r="B24" s="200">
        <f>'Personnel Yr 1'!O54</f>
        <v>0</v>
      </c>
    </row>
    <row r="25" spans="1:2" ht="26.45" customHeight="1" x14ac:dyDescent="0.2">
      <c r="A25" s="197" t="str">
        <f>'Personnel Yr 1'!A55 &amp; ". " &amp; 'Personnel Yr 1'!C55 &amp; " " &amp; 'Personnel Yr 1'!E55</f>
        <v xml:space="preserve">12.  </v>
      </c>
      <c r="B25" s="200">
        <f>'Personnel Yr 1'!O55</f>
        <v>0</v>
      </c>
    </row>
    <row r="26" spans="1:2" ht="26.45" customHeight="1" x14ac:dyDescent="0.2">
      <c r="A26" s="197" t="str">
        <f>'Personnel Yr 1'!A56 &amp; ". " &amp; 'Personnel Yr 1'!C56 &amp; " " &amp; 'Personnel Yr 1'!E56</f>
        <v xml:space="preserve">13.  </v>
      </c>
      <c r="B26" s="200">
        <f>'Personnel Yr 1'!O56</f>
        <v>0</v>
      </c>
    </row>
    <row r="27" spans="1:2" ht="26.45" customHeight="1" x14ac:dyDescent="0.2">
      <c r="A27" s="197" t="str">
        <f>'Personnel Yr 1'!A57 &amp; ". " &amp; 'Personnel Yr 1'!C57 &amp; " " &amp; 'Personnel Yr 1'!E57</f>
        <v xml:space="preserve">14.  </v>
      </c>
      <c r="B27" s="200">
        <f>'Personnel Yr 1'!O57</f>
        <v>0</v>
      </c>
    </row>
    <row r="28" spans="1:2" ht="26.45" customHeight="1" x14ac:dyDescent="0.2">
      <c r="A28" s="197" t="str">
        <f>'Personnel Yr 1'!A58 &amp; ". " &amp; 'Personnel Yr 1'!C58 &amp; " " &amp; 'Personnel Yr 1'!E58</f>
        <v xml:space="preserve">15.  </v>
      </c>
      <c r="B28" s="200">
        <f>'Personnel Yr 1'!O58</f>
        <v>0</v>
      </c>
    </row>
    <row r="29" spans="1:2" x14ac:dyDescent="0.2">
      <c r="A29" s="197"/>
      <c r="B29" s="200"/>
    </row>
    <row r="30" spans="1:2" x14ac:dyDescent="0.2">
      <c r="A30" s="197" t="str">
        <f>'Personnel Yr 1'!B19</f>
        <v>B. Other Personnel</v>
      </c>
      <c r="B30" s="200" t="s">
        <v>251</v>
      </c>
    </row>
    <row r="31" spans="1:2" x14ac:dyDescent="0.2">
      <c r="A31" s="197" t="str">
        <f>"1. " &amp; 'Personnel Yr 1'!C21</f>
        <v>1. Post Doctoral Associates</v>
      </c>
      <c r="B31" s="254">
        <f>'Personnel Yr 1'!O21</f>
        <v>0</v>
      </c>
    </row>
    <row r="32" spans="1:2" x14ac:dyDescent="0.2">
      <c r="A32" s="197" t="str">
        <f>"2. " &amp; 'Personnel Yr 1'!C22</f>
        <v>2. Other Professional</v>
      </c>
      <c r="B32" s="254">
        <f>'Personnel Yr 1'!O22</f>
        <v>0</v>
      </c>
    </row>
    <row r="33" spans="1:2" x14ac:dyDescent="0.2">
      <c r="A33" s="197" t="str">
        <f>"3. " &amp; 'Personnel Yr 1'!C23</f>
        <v>3. Graduate Students</v>
      </c>
      <c r="B33" s="254">
        <f>'Personnel Yr 1'!O23</f>
        <v>0</v>
      </c>
    </row>
    <row r="34" spans="1:2" x14ac:dyDescent="0.2">
      <c r="A34" s="197" t="str">
        <f>"4. " &amp; 'Personnel Yr 1'!C24</f>
        <v>4. Undergraduate Students</v>
      </c>
      <c r="B34" s="254">
        <f>'Personnel Yr 1'!O24</f>
        <v>0</v>
      </c>
    </row>
    <row r="35" spans="1:2" x14ac:dyDescent="0.2">
      <c r="A35" s="197" t="str">
        <f>"5. " &amp; 'Personnel Yr 1'!C25</f>
        <v>5. Lab/ Technical Project Manager (Staff)</v>
      </c>
      <c r="B35" s="254">
        <f>'Personnel Yr 1'!O25</f>
        <v>0</v>
      </c>
    </row>
    <row r="36" spans="1:2" x14ac:dyDescent="0.2">
      <c r="A36" s="197" t="str">
        <f>"6. " &amp; 'Personnel Yr 1'!C26</f>
        <v>6. Other (Temp, wages)</v>
      </c>
      <c r="B36" s="254">
        <f>'Personnel Yr 1'!O26</f>
        <v>0</v>
      </c>
    </row>
    <row r="37" spans="1:2" s="259" customFormat="1" x14ac:dyDescent="0.2">
      <c r="A37" s="197" t="str">
        <f>"7. " &amp; 'Personnel Yr 1'!C27</f>
        <v>7. Extra Service &amp; Overload</v>
      </c>
      <c r="B37" s="254">
        <f>'Personnel Yr 1'!O27</f>
        <v>0</v>
      </c>
    </row>
    <row r="38" spans="1:2" s="259" customFormat="1" x14ac:dyDescent="0.2">
      <c r="A38" s="197" t="str">
        <f>"8. " &amp; 'Personnel Yr 1'!C28</f>
        <v>8. Adjunct Faculty</v>
      </c>
      <c r="B38" s="254">
        <f>'Personnel Yr 1'!O28</f>
        <v>0</v>
      </c>
    </row>
    <row r="39" spans="1:2" x14ac:dyDescent="0.2">
      <c r="A39" s="197"/>
      <c r="B39" s="200"/>
    </row>
    <row r="40" spans="1:2" x14ac:dyDescent="0.2">
      <c r="A40" s="197" t="str">
        <f>'Non-personnel'!B4</f>
        <v>C. Equipment Description</v>
      </c>
      <c r="B40" s="200" t="s">
        <v>251</v>
      </c>
    </row>
    <row r="41" spans="1:2" x14ac:dyDescent="0.2">
      <c r="A41" s="197" t="str">
        <f>'Non-personnel'!A7 &amp; ". " &amp; 'Non-personnel'!B7</f>
        <v xml:space="preserve">1. </v>
      </c>
      <c r="B41" s="200">
        <f>'Non-personnel'!T7</f>
        <v>0</v>
      </c>
    </row>
    <row r="42" spans="1:2" x14ac:dyDescent="0.2">
      <c r="A42" s="197" t="str">
        <f>'Non-personnel'!A8 &amp; ". " &amp; 'Non-personnel'!B8</f>
        <v xml:space="preserve">2. </v>
      </c>
      <c r="B42" s="200">
        <f>'Non-personnel'!T8</f>
        <v>0</v>
      </c>
    </row>
    <row r="43" spans="1:2" x14ac:dyDescent="0.2">
      <c r="A43" s="197" t="str">
        <f>'Non-personnel'!A9 &amp; ". " &amp; 'Non-personnel'!B9</f>
        <v xml:space="preserve">3. </v>
      </c>
      <c r="B43" s="200">
        <f>'Non-personnel'!T9</f>
        <v>0</v>
      </c>
    </row>
    <row r="44" spans="1:2" x14ac:dyDescent="0.2">
      <c r="A44" s="197" t="str">
        <f>'Non-personnel'!A10 &amp; ". " &amp; 'Non-personnel'!B10</f>
        <v xml:space="preserve">4. </v>
      </c>
      <c r="B44" s="200">
        <f>'Non-personnel'!T10</f>
        <v>0</v>
      </c>
    </row>
    <row r="45" spans="1:2" x14ac:dyDescent="0.2">
      <c r="A45" s="197" t="str">
        <f>'Non-personnel'!A11 &amp; ". " &amp; 'Non-personnel'!B11</f>
        <v xml:space="preserve">5. </v>
      </c>
      <c r="B45" s="200">
        <f>'Non-personnel'!T11</f>
        <v>0</v>
      </c>
    </row>
    <row r="46" spans="1:2" x14ac:dyDescent="0.2">
      <c r="A46" s="197" t="str">
        <f>'Non-personnel'!A12 &amp; ". " &amp; 'Non-personnel'!B12</f>
        <v xml:space="preserve">6. </v>
      </c>
      <c r="B46" s="200">
        <f>'Non-personnel'!T12</f>
        <v>0</v>
      </c>
    </row>
    <row r="47" spans="1:2" x14ac:dyDescent="0.2">
      <c r="A47" s="197" t="str">
        <f>'Non-personnel'!A13 &amp; ". " &amp; 'Non-personnel'!B13</f>
        <v xml:space="preserve">7. </v>
      </c>
      <c r="B47" s="200">
        <f>'Non-personnel'!T13</f>
        <v>0</v>
      </c>
    </row>
    <row r="48" spans="1:2" x14ac:dyDescent="0.2">
      <c r="A48" s="197" t="str">
        <f>'Non-personnel'!A14 &amp; ". " &amp; 'Non-personnel'!B14</f>
        <v xml:space="preserve">8. </v>
      </c>
      <c r="B48" s="200">
        <f>'Non-personnel'!T14</f>
        <v>0</v>
      </c>
    </row>
    <row r="49" spans="1:2" x14ac:dyDescent="0.2">
      <c r="A49" s="197"/>
      <c r="B49" s="200"/>
    </row>
    <row r="50" spans="1:2" x14ac:dyDescent="0.2">
      <c r="A50" s="197"/>
      <c r="B50" s="196"/>
    </row>
    <row r="51" spans="1:2" x14ac:dyDescent="0.2">
      <c r="A51" s="197" t="str">
        <f>'Non-personnel'!B17</f>
        <v>D. Travel</v>
      </c>
      <c r="B51" s="200" t="s">
        <v>251</v>
      </c>
    </row>
    <row r="52" spans="1:2" x14ac:dyDescent="0.2">
      <c r="A52" s="197" t="str">
        <f>'Non-personnel'!A19 &amp; ". " &amp; 'Non-personnel'!B19</f>
        <v>1. Domestic Travel Costs(Incl. Canada, Mexico and U.S. Possessions)</v>
      </c>
      <c r="B52" s="200">
        <f>'Non-personnel'!T19</f>
        <v>0</v>
      </c>
    </row>
    <row r="53" spans="1:2" x14ac:dyDescent="0.2">
      <c r="A53" s="197" t="str">
        <f>'Non-personnel'!A20 &amp; ". " &amp; 'Non-personnel'!B20</f>
        <v>2. Foreign Travel Costs</v>
      </c>
      <c r="B53" s="200">
        <f>'Non-personnel'!T20</f>
        <v>0</v>
      </c>
    </row>
    <row r="54" spans="1:2" x14ac:dyDescent="0.2">
      <c r="A54" s="197"/>
      <c r="B54" s="196"/>
    </row>
    <row r="55" spans="1:2" x14ac:dyDescent="0.2">
      <c r="A55" s="197" t="str">
        <f>'Non-personnel'!B23</f>
        <v>E. Participant/Trainee Support Costs</v>
      </c>
      <c r="B55" s="200" t="s">
        <v>251</v>
      </c>
    </row>
    <row r="56" spans="1:2" x14ac:dyDescent="0.2">
      <c r="A56" s="197" t="str">
        <f>'Non-personnel'!A25 &amp; ". " &amp; 'Non-personnel'!B25</f>
        <v>1. Stipends</v>
      </c>
      <c r="B56" s="200">
        <f>'Non-personnel'!T25</f>
        <v>0</v>
      </c>
    </row>
    <row r="57" spans="1:2" x14ac:dyDescent="0.2">
      <c r="A57" s="197" t="str">
        <f>'Non-personnel'!A26 &amp; ". " &amp; 'Non-personnel'!B26</f>
        <v>2. Travel</v>
      </c>
      <c r="B57" s="200">
        <f>'Non-personnel'!T26</f>
        <v>0</v>
      </c>
    </row>
    <row r="58" spans="1:2" x14ac:dyDescent="0.2">
      <c r="A58" s="197" t="str">
        <f>'Non-personnel'!A27 &amp; ". " &amp; 'Non-personnel'!B27</f>
        <v>3. Subsistence</v>
      </c>
      <c r="B58" s="200">
        <f>'Non-personnel'!T27</f>
        <v>0</v>
      </c>
    </row>
    <row r="59" spans="1:2" x14ac:dyDescent="0.2">
      <c r="A59" s="197" t="str">
        <f>'Non-personnel'!A28 &amp; ". " &amp; 'Non-personnel'!B28</f>
        <v>4. Other</v>
      </c>
      <c r="B59" s="200">
        <f>'Non-personnel'!T28</f>
        <v>0</v>
      </c>
    </row>
    <row r="60" spans="1:2" x14ac:dyDescent="0.2">
      <c r="A60" s="197"/>
      <c r="B60" s="200"/>
    </row>
    <row r="61" spans="1:2" x14ac:dyDescent="0.2">
      <c r="A61" s="197" t="str">
        <f>'Non-personnel'!B32</f>
        <v>F. Other Direct Costs</v>
      </c>
      <c r="B61" s="200" t="s">
        <v>251</v>
      </c>
    </row>
    <row r="62" spans="1:2" x14ac:dyDescent="0.2">
      <c r="A62" s="197" t="str">
        <f>'Non-personnel'!A34 &amp; ". " &amp; 'Non-personnel'!B34</f>
        <v>1. Materials and Supplies</v>
      </c>
      <c r="B62" s="200">
        <f>'Non-personnel'!T34</f>
        <v>0</v>
      </c>
    </row>
    <row r="63" spans="1:2" x14ac:dyDescent="0.2">
      <c r="A63" s="197" t="str">
        <f>'Non-personnel'!A35 &amp; ". " &amp; 'Non-personnel'!B35</f>
        <v>2. Publication Costs</v>
      </c>
      <c r="B63" s="200">
        <f>'Non-personnel'!T35</f>
        <v>0</v>
      </c>
    </row>
    <row r="64" spans="1:2" x14ac:dyDescent="0.2">
      <c r="A64" s="197" t="str">
        <f>'Non-personnel'!A36 &amp; ". " &amp; 'Non-personnel'!B36</f>
        <v>3. Consultant Services</v>
      </c>
      <c r="B64" s="200">
        <f>'Non-personnel'!T36</f>
        <v>0</v>
      </c>
    </row>
    <row r="65" spans="1:2" x14ac:dyDescent="0.2">
      <c r="A65" s="197" t="str">
        <f>'Non-personnel'!A37 &amp; ". " &amp; 'Non-personnel'!B37</f>
        <v>4. Purchased Services</v>
      </c>
      <c r="B65" s="200">
        <f>'Non-personnel'!T37</f>
        <v>0</v>
      </c>
    </row>
    <row r="66" spans="1:2" x14ac:dyDescent="0.2">
      <c r="A66" s="197" t="str">
        <f>'Non-personnel'!A38 &amp; ". " &amp; 'Non-personnel'!B38</f>
        <v>5. Subawards/Consortium/Contractual Costs (Fill in Below)</v>
      </c>
      <c r="B66" s="200">
        <f>'Non-personnel'!T38</f>
        <v>0</v>
      </c>
    </row>
    <row r="67" spans="1:2" x14ac:dyDescent="0.2">
      <c r="A67" s="197" t="str">
        <f>'Non-personnel'!A39 &amp; ". " &amp; 'Non-personnel'!B39</f>
        <v>5. Rental/Lease of Non-SU Off-site Facilities</v>
      </c>
      <c r="B67" s="200">
        <f>'Non-personnel'!T39</f>
        <v>0</v>
      </c>
    </row>
    <row r="68" spans="1:2" x14ac:dyDescent="0.2">
      <c r="A68" s="197" t="str">
        <f>'Non-personnel'!A40 &amp; ". " &amp; 'Non-personnel'!B40</f>
        <v>6. Alterations</v>
      </c>
      <c r="B68" s="200">
        <f>'Non-personnel'!T40</f>
        <v>0</v>
      </c>
    </row>
    <row r="69" spans="1:2" x14ac:dyDescent="0.2">
      <c r="A69" s="197" t="str">
        <f>'Non-personnel'!A41 &amp; ". " &amp; 'Non-personnel'!B41</f>
        <v>7. Tuition - Remitted</v>
      </c>
      <c r="B69" s="200">
        <f>'Non-personnel'!T41</f>
        <v>0</v>
      </c>
    </row>
    <row r="70" spans="1:2" s="259" customFormat="1" x14ac:dyDescent="0.2">
      <c r="A70" s="197" t="str">
        <f>'Non-personnel'!A42 &amp; ". " &amp; 'Non-personnel'!B42</f>
        <v>8. Tuition - Scholarship</v>
      </c>
      <c r="B70" s="200">
        <f>'Non-personnel'!T42</f>
        <v>0</v>
      </c>
    </row>
    <row r="71" spans="1:2" s="259" customFormat="1" x14ac:dyDescent="0.2">
      <c r="A71" s="197" t="str">
        <f>'Non-personnel'!A43 &amp; ". " &amp; 'Non-personnel'!B43</f>
        <v>7. Human Subject</v>
      </c>
      <c r="B71" s="200">
        <f>'Non-personnel'!T43</f>
        <v>0</v>
      </c>
    </row>
    <row r="72" spans="1:2" x14ac:dyDescent="0.2">
      <c r="A72" s="197" t="str">
        <f>'Non-personnel'!A44 &amp; ". " &amp; 'Non-personnel'!B44</f>
        <v>8. Other - Describe</v>
      </c>
      <c r="B72" s="200">
        <f>'Non-personnel'!T44</f>
        <v>0</v>
      </c>
    </row>
    <row r="73" spans="1:2" x14ac:dyDescent="0.2">
      <c r="A73" s="197" t="str">
        <f>'Non-personnel'!A45 &amp; ". " &amp; 'Non-personnel'!B45</f>
        <v>9. Other - Describe</v>
      </c>
      <c r="B73" s="200">
        <f>'Non-personnel'!T45</f>
        <v>0</v>
      </c>
    </row>
    <row r="74" spans="1:2" s="259" customFormat="1" x14ac:dyDescent="0.2">
      <c r="A74" s="197" t="str">
        <f>'Non-personnel'!A46 &amp; ". " &amp; 'Non-personnel'!B46</f>
        <v>10. Other - Describe</v>
      </c>
      <c r="B74" s="200">
        <f>'Non-personnel'!T46</f>
        <v>0</v>
      </c>
    </row>
    <row r="75" spans="1:2" s="259" customFormat="1" x14ac:dyDescent="0.2">
      <c r="A75" s="197" t="str">
        <f>'Non-personnel'!A47 &amp; ". " &amp; 'Non-personnel'!B47</f>
        <v>11. Other - Describe</v>
      </c>
      <c r="B75" s="200">
        <f>'Non-personnel'!T47</f>
        <v>0</v>
      </c>
    </row>
    <row r="76" spans="1:2" x14ac:dyDescent="0.2">
      <c r="A76" s="197"/>
      <c r="B76" s="196"/>
    </row>
    <row r="77" spans="1:2" x14ac:dyDescent="0.2">
      <c r="A77" s="197" t="str">
        <f>'Non-personnel'!B54</f>
        <v>H. Facilities and Administration Costs (i.e. Indirect Costs)</v>
      </c>
      <c r="B77" s="200" t="s">
        <v>251</v>
      </c>
    </row>
    <row r="78" spans="1:2" x14ac:dyDescent="0.2">
      <c r="A78" s="197" t="str">
        <f>'Non-personnel'!A57 &amp; ". " &amp; 'Non-personnel'!B57</f>
        <v>1. MTDC-NonFed</v>
      </c>
      <c r="B78" s="200">
        <f>'Non-personnel'!T57</f>
        <v>0</v>
      </c>
    </row>
    <row r="79" spans="1:2" x14ac:dyDescent="0.2">
      <c r="A79" s="197" t="str">
        <f>'Non-personnel'!A58 &amp; ". " &amp; 'Non-personnel'!B58</f>
        <v>2. MTDC-NonFed</v>
      </c>
      <c r="B79" s="200">
        <f>'Non-personnel'!T58</f>
        <v>0</v>
      </c>
    </row>
    <row r="80" spans="1:2" x14ac:dyDescent="0.2">
      <c r="A80" s="197" t="str">
        <f>'Non-personnel'!A59 &amp; ". " &amp; 'Non-personnel'!B59</f>
        <v>3. MTDC-NonFed</v>
      </c>
      <c r="B80" s="200">
        <f>'Non-personnel'!T59</f>
        <v>0</v>
      </c>
    </row>
    <row r="81" spans="1:2" x14ac:dyDescent="0.2">
      <c r="A81" s="197" t="str">
        <f>'Non-personnel'!A60 &amp; ". " &amp; 'Non-personnel'!B60</f>
        <v>4. MTDC-NonFed</v>
      </c>
      <c r="B81" s="200">
        <f>'Non-personnel'!T60</f>
        <v>0</v>
      </c>
    </row>
    <row r="82" spans="1:2" x14ac:dyDescent="0.2">
      <c r="A82" s="197" t="str">
        <f>'Non-personnel'!A61 &amp; ". " &amp; 'Non-personnel'!B61</f>
        <v>5. MTDC-NonFed</v>
      </c>
      <c r="B82" s="200">
        <f>'Non-personnel'!T61</f>
        <v>0</v>
      </c>
    </row>
  </sheetData>
  <sheetProtection algorithmName="SHA-512" hashValue="1UWl6jh24G56/o5N3AM7O9DLDdYrCkmAyBKTwsOwvMO2xl5kQHDHJaLRx79COH97owid1MmmXOgWQaLMqDJQQA==" saltValue="J+y/HtO9Z2lPmeiy9OJ95Q==" spinCount="100000" sheet="1" objects="1" scenarios="1"/>
  <pageMargins left="0.25" right="0.25" top="0.5" bottom="0.5" header="0.3" footer="0.3"/>
  <pageSetup orientation="portrait" verticalDpi="0" r:id="rId1"/>
  <rowBreaks count="1" manualBreakCount="1">
    <brk id="29" max="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9"/>
  <sheetViews>
    <sheetView workbookViewId="0">
      <selection sqref="A1:H1"/>
    </sheetView>
  </sheetViews>
  <sheetFormatPr defaultColWidth="8.85546875" defaultRowHeight="12.75" x14ac:dyDescent="0.2"/>
  <cols>
    <col min="1" max="1" width="4.7109375" style="205" customWidth="1"/>
    <col min="2" max="8" width="17.5703125" style="205" customWidth="1"/>
    <col min="9" max="16384" width="8.85546875" style="205"/>
  </cols>
  <sheetData>
    <row r="1" spans="1:8" ht="15.75" x14ac:dyDescent="0.2">
      <c r="A1" s="879" t="s">
        <v>340</v>
      </c>
      <c r="B1" s="879"/>
      <c r="C1" s="879"/>
      <c r="D1" s="879"/>
      <c r="E1" s="879"/>
      <c r="F1" s="879"/>
      <c r="G1" s="879"/>
      <c r="H1" s="879"/>
    </row>
    <row r="2" spans="1:8" x14ac:dyDescent="0.2">
      <c r="A2" s="869" t="s">
        <v>296</v>
      </c>
      <c r="B2" s="869"/>
      <c r="C2" s="869"/>
      <c r="D2" s="869"/>
      <c r="E2" s="869"/>
      <c r="F2" s="869"/>
      <c r="G2" s="869"/>
      <c r="H2" s="869"/>
    </row>
    <row r="3" spans="1:8" ht="26.45" customHeight="1" x14ac:dyDescent="0.2">
      <c r="A3" s="210"/>
      <c r="B3" s="867" t="s">
        <v>292</v>
      </c>
      <c r="C3" s="867" t="s">
        <v>289</v>
      </c>
      <c r="D3" s="867" t="s">
        <v>282</v>
      </c>
      <c r="E3" s="868"/>
      <c r="F3" s="867" t="s">
        <v>283</v>
      </c>
      <c r="G3" s="868"/>
      <c r="H3" s="868"/>
    </row>
    <row r="4" spans="1:8" ht="26.45" customHeight="1" x14ac:dyDescent="0.2">
      <c r="A4" s="210"/>
      <c r="B4" s="867"/>
      <c r="C4" s="867"/>
      <c r="D4" s="213" t="s">
        <v>284</v>
      </c>
      <c r="E4" s="213" t="s">
        <v>285</v>
      </c>
      <c r="F4" s="213" t="s">
        <v>286</v>
      </c>
      <c r="G4" s="213" t="s">
        <v>287</v>
      </c>
      <c r="H4" s="213" t="s">
        <v>288</v>
      </c>
    </row>
    <row r="5" spans="1:8" ht="26.45" customHeight="1" x14ac:dyDescent="0.2">
      <c r="A5" s="212" t="s">
        <v>278</v>
      </c>
      <c r="B5" s="219"/>
      <c r="C5" s="219"/>
      <c r="D5" s="218"/>
      <c r="E5" s="218"/>
      <c r="F5" s="208">
        <f>IF(OR('Personnel Yr 1'!N5="Federal - NIH", 'Personnel Yr 1'!N5="Federal - Other"),D23,0)</f>
        <v>0</v>
      </c>
      <c r="G5" s="208">
        <f>IF(AND('Personnel Yr 1'!N5&lt;&gt;"Federal - NIH",'Personnel Yr 1'!N5&lt;&gt;"Federal - Other"),D23,0)</f>
        <v>0</v>
      </c>
      <c r="H5" s="208">
        <f>SUM(D5:G5)</f>
        <v>0</v>
      </c>
    </row>
    <row r="6" spans="1:8" ht="26.45" customHeight="1" x14ac:dyDescent="0.2">
      <c r="A6" s="212" t="s">
        <v>279</v>
      </c>
      <c r="B6" s="219"/>
      <c r="C6" s="219"/>
      <c r="D6" s="218"/>
      <c r="E6" s="218"/>
      <c r="F6" s="218"/>
      <c r="G6" s="218"/>
      <c r="H6" s="208">
        <f t="shared" ref="H6:H8" si="0">SUM(D6:G6)</f>
        <v>0</v>
      </c>
    </row>
    <row r="7" spans="1:8" ht="26.45" customHeight="1" x14ac:dyDescent="0.2">
      <c r="A7" s="212" t="s">
        <v>280</v>
      </c>
      <c r="B7" s="219"/>
      <c r="C7" s="219"/>
      <c r="D7" s="218"/>
      <c r="E7" s="218"/>
      <c r="F7" s="218"/>
      <c r="G7" s="218"/>
      <c r="H7" s="208">
        <f t="shared" si="0"/>
        <v>0</v>
      </c>
    </row>
    <row r="8" spans="1:8" ht="26.45" customHeight="1" x14ac:dyDescent="0.2">
      <c r="A8" s="212" t="s">
        <v>281</v>
      </c>
      <c r="B8" s="219"/>
      <c r="C8" s="219"/>
      <c r="D8" s="218"/>
      <c r="E8" s="218"/>
      <c r="F8" s="218"/>
      <c r="G8" s="218"/>
      <c r="H8" s="208">
        <f t="shared" si="0"/>
        <v>0</v>
      </c>
    </row>
    <row r="9" spans="1:8" ht="26.45" customHeight="1" x14ac:dyDescent="0.2">
      <c r="A9" s="212" t="s">
        <v>290</v>
      </c>
      <c r="B9" s="873" t="s">
        <v>291</v>
      </c>
      <c r="C9" s="873"/>
      <c r="D9" s="208">
        <f>SUM(D5:D8)</f>
        <v>0</v>
      </c>
      <c r="E9" s="208">
        <f t="shared" ref="E9:G9" si="1">SUM(E5:E8)</f>
        <v>0</v>
      </c>
      <c r="F9" s="208">
        <f t="shared" si="1"/>
        <v>0</v>
      </c>
      <c r="G9" s="208">
        <f t="shared" si="1"/>
        <v>0</v>
      </c>
      <c r="H9" s="208">
        <f>SUM(D9:G9)</f>
        <v>0</v>
      </c>
    </row>
    <row r="10" spans="1:8" x14ac:dyDescent="0.2">
      <c r="A10" s="870" t="s">
        <v>295</v>
      </c>
      <c r="B10" s="870"/>
      <c r="C10" s="870"/>
      <c r="D10" s="870"/>
      <c r="E10" s="870"/>
      <c r="F10" s="870"/>
      <c r="G10" s="870"/>
      <c r="H10" s="870"/>
    </row>
    <row r="11" spans="1:8" x14ac:dyDescent="0.2">
      <c r="A11" s="871" t="s">
        <v>277</v>
      </c>
      <c r="B11" s="871"/>
      <c r="C11" s="871"/>
      <c r="D11" s="867" t="s">
        <v>293</v>
      </c>
      <c r="E11" s="868"/>
      <c r="F11" s="868"/>
      <c r="G11" s="868"/>
      <c r="H11" s="867" t="s">
        <v>294</v>
      </c>
    </row>
    <row r="12" spans="1:8" x14ac:dyDescent="0.2">
      <c r="A12" s="871"/>
      <c r="B12" s="871"/>
      <c r="C12" s="871"/>
      <c r="D12" s="211" t="str">
        <f xml:space="preserve"> "(1) " &amp; B5</f>
        <v xml:space="preserve">(1) </v>
      </c>
      <c r="E12" s="211" t="str">
        <f xml:space="preserve"> "(2) " &amp; B6</f>
        <v xml:space="preserve">(2) </v>
      </c>
      <c r="F12" s="211" t="str">
        <f xml:space="preserve"> "(3) " &amp; B7</f>
        <v xml:space="preserve">(3) </v>
      </c>
      <c r="G12" s="211" t="str">
        <f xml:space="preserve"> "(4) " &amp; B8</f>
        <v xml:space="preserve">(4) </v>
      </c>
      <c r="H12" s="867"/>
    </row>
    <row r="13" spans="1:8" ht="26.45" customHeight="1" x14ac:dyDescent="0.2">
      <c r="A13" s="210"/>
      <c r="B13" s="865" t="s">
        <v>266</v>
      </c>
      <c r="C13" s="865"/>
      <c r="D13" s="208">
        <f>'CUSE Grant Budget Form'!H114</f>
        <v>0</v>
      </c>
      <c r="E13" s="218"/>
      <c r="F13" s="218"/>
      <c r="G13" s="218"/>
      <c r="H13" s="208">
        <f>SUM(D13:G13)</f>
        <v>0</v>
      </c>
    </row>
    <row r="14" spans="1:8" ht="26.45" customHeight="1" x14ac:dyDescent="0.2">
      <c r="A14" s="210"/>
      <c r="B14" s="865" t="s">
        <v>267</v>
      </c>
      <c r="C14" s="865"/>
      <c r="D14" s="208">
        <f>'CUSE Grant Budget Form'!H122</f>
        <v>0</v>
      </c>
      <c r="E14" s="218"/>
      <c r="F14" s="218"/>
      <c r="G14" s="218"/>
      <c r="H14" s="208">
        <f t="shared" ref="H14:H23" si="2">SUM(D14:G14)</f>
        <v>0</v>
      </c>
    </row>
    <row r="15" spans="1:8" ht="26.45" customHeight="1" x14ac:dyDescent="0.2">
      <c r="A15" s="210"/>
      <c r="B15" s="865" t="s">
        <v>268</v>
      </c>
      <c r="C15" s="865"/>
      <c r="D15" s="208">
        <f>'CUSE Grant Budget Form'!H133</f>
        <v>0</v>
      </c>
      <c r="E15" s="218"/>
      <c r="F15" s="218"/>
      <c r="G15" s="218"/>
      <c r="H15" s="208">
        <f t="shared" si="2"/>
        <v>0</v>
      </c>
    </row>
    <row r="16" spans="1:8" ht="26.45" customHeight="1" x14ac:dyDescent="0.2">
      <c r="A16" s="210"/>
      <c r="B16" s="865" t="s">
        <v>269</v>
      </c>
      <c r="C16" s="865"/>
      <c r="D16" s="208">
        <f>'CUSE Grant Budget Form'!H128</f>
        <v>0</v>
      </c>
      <c r="E16" s="218"/>
      <c r="F16" s="218"/>
      <c r="G16" s="218"/>
      <c r="H16" s="208">
        <f t="shared" si="2"/>
        <v>0</v>
      </c>
    </row>
    <row r="17" spans="1:8" ht="26.45" customHeight="1" x14ac:dyDescent="0.2">
      <c r="A17" s="210"/>
      <c r="B17" s="865" t="s">
        <v>270</v>
      </c>
      <c r="C17" s="865"/>
      <c r="D17" s="208">
        <f>'CUSE Grant Budget Form'!H143</f>
        <v>0</v>
      </c>
      <c r="E17" s="218"/>
      <c r="F17" s="218"/>
      <c r="G17" s="218"/>
      <c r="H17" s="208">
        <f t="shared" si="2"/>
        <v>0</v>
      </c>
    </row>
    <row r="18" spans="1:8" ht="26.45" customHeight="1" x14ac:dyDescent="0.2">
      <c r="A18" s="210"/>
      <c r="B18" s="865" t="s">
        <v>271</v>
      </c>
      <c r="C18" s="865"/>
      <c r="D18" s="208">
        <f>SUM('CUSE Grant Budget Form'!H144,'CUSE Grant Budget Form'!H146,'CUSE Grant Budget Form'!H147)</f>
        <v>0</v>
      </c>
      <c r="E18" s="218"/>
      <c r="F18" s="218"/>
      <c r="G18" s="218"/>
      <c r="H18" s="208">
        <f t="shared" si="2"/>
        <v>0</v>
      </c>
    </row>
    <row r="19" spans="1:8" ht="26.45" customHeight="1" x14ac:dyDescent="0.2">
      <c r="A19" s="210"/>
      <c r="B19" s="866" t="s">
        <v>272</v>
      </c>
      <c r="C19" s="866"/>
      <c r="D19" s="209"/>
      <c r="E19" s="209"/>
      <c r="F19" s="209"/>
      <c r="G19" s="209"/>
      <c r="H19" s="209"/>
    </row>
    <row r="20" spans="1:8" ht="26.45" customHeight="1" x14ac:dyDescent="0.2">
      <c r="A20" s="210"/>
      <c r="B20" s="865" t="s">
        <v>273</v>
      </c>
      <c r="C20" s="865"/>
      <c r="D20" s="208">
        <f>'CUSE Grant Budget Form'!H171-SUM(D13:D18)</f>
        <v>0</v>
      </c>
      <c r="E20" s="218"/>
      <c r="F20" s="218"/>
      <c r="G20" s="218"/>
      <c r="H20" s="208">
        <f t="shared" si="2"/>
        <v>0</v>
      </c>
    </row>
    <row r="21" spans="1:8" ht="26.45" customHeight="1" x14ac:dyDescent="0.2">
      <c r="A21" s="210"/>
      <c r="B21" s="865" t="s">
        <v>274</v>
      </c>
      <c r="C21" s="865"/>
      <c r="D21" s="208">
        <f>SUM(D13:D20)</f>
        <v>0</v>
      </c>
      <c r="E21" s="218"/>
      <c r="F21" s="218"/>
      <c r="G21" s="218"/>
      <c r="H21" s="208">
        <f t="shared" si="2"/>
        <v>0</v>
      </c>
    </row>
    <row r="22" spans="1:8" ht="26.45" customHeight="1" x14ac:dyDescent="0.2">
      <c r="A22" s="210"/>
      <c r="B22" s="865" t="s">
        <v>275</v>
      </c>
      <c r="C22" s="865"/>
      <c r="D22" s="208">
        <f>'CUSE Grant Budget Form'!H173</f>
        <v>0</v>
      </c>
      <c r="E22" s="218"/>
      <c r="F22" s="218"/>
      <c r="G22" s="218"/>
      <c r="H22" s="208">
        <f t="shared" si="2"/>
        <v>0</v>
      </c>
    </row>
    <row r="23" spans="1:8" ht="26.45" customHeight="1" x14ac:dyDescent="0.2">
      <c r="A23" s="210"/>
      <c r="B23" s="865" t="s">
        <v>276</v>
      </c>
      <c r="C23" s="865"/>
      <c r="D23" s="208">
        <f>SUM(D21:D22)</f>
        <v>0</v>
      </c>
      <c r="E23" s="208">
        <f t="shared" ref="E23:G23" si="3">SUM(E21:E22)</f>
        <v>0</v>
      </c>
      <c r="F23" s="208">
        <f t="shared" si="3"/>
        <v>0</v>
      </c>
      <c r="G23" s="208">
        <f t="shared" si="3"/>
        <v>0</v>
      </c>
      <c r="H23" s="208">
        <f t="shared" si="2"/>
        <v>0</v>
      </c>
    </row>
    <row r="24" spans="1:8" x14ac:dyDescent="0.2">
      <c r="A24" s="872"/>
      <c r="B24" s="872"/>
      <c r="C24" s="872"/>
      <c r="D24" s="872"/>
      <c r="E24" s="872"/>
      <c r="F24" s="872"/>
      <c r="G24" s="872"/>
      <c r="H24" s="872"/>
    </row>
    <row r="25" spans="1:8" ht="26.45" customHeight="1" x14ac:dyDescent="0.2">
      <c r="A25" s="873" t="s">
        <v>297</v>
      </c>
      <c r="B25" s="873"/>
      <c r="C25" s="873"/>
      <c r="D25" s="206"/>
      <c r="E25" s="206"/>
      <c r="F25" s="206"/>
      <c r="G25" s="206"/>
      <c r="H25" s="208">
        <f>SUM(D25:G25)</f>
        <v>0</v>
      </c>
    </row>
    <row r="26" spans="1:8" x14ac:dyDescent="0.2">
      <c r="A26" s="869" t="s">
        <v>298</v>
      </c>
      <c r="B26" s="869"/>
      <c r="C26" s="869"/>
      <c r="D26" s="869"/>
      <c r="E26" s="869"/>
      <c r="F26" s="869"/>
      <c r="G26" s="869"/>
      <c r="H26" s="869"/>
    </row>
    <row r="27" spans="1:8" ht="26.45" customHeight="1" x14ac:dyDescent="0.2">
      <c r="A27" s="874" t="s">
        <v>320</v>
      </c>
      <c r="B27" s="874"/>
      <c r="C27" s="874"/>
      <c r="D27" s="874"/>
      <c r="E27" s="214" t="s">
        <v>316</v>
      </c>
      <c r="F27" s="215" t="s">
        <v>317</v>
      </c>
      <c r="G27" s="214" t="s">
        <v>318</v>
      </c>
      <c r="H27" s="214" t="s">
        <v>319</v>
      </c>
    </row>
    <row r="28" spans="1:8" ht="26.45" customHeight="1" x14ac:dyDescent="0.2">
      <c r="A28" s="212" t="s">
        <v>303</v>
      </c>
      <c r="B28" s="875">
        <f>B5</f>
        <v>0</v>
      </c>
      <c r="C28" s="875"/>
      <c r="D28" s="875"/>
      <c r="E28" s="218"/>
      <c r="F28" s="218"/>
      <c r="G28" s="218"/>
      <c r="H28" s="208">
        <f>SUM(E28:G28)</f>
        <v>0</v>
      </c>
    </row>
    <row r="29" spans="1:8" ht="26.45" customHeight="1" x14ac:dyDescent="0.2">
      <c r="A29" s="212" t="s">
        <v>302</v>
      </c>
      <c r="B29" s="875">
        <f t="shared" ref="B29:B31" si="4">B6</f>
        <v>0</v>
      </c>
      <c r="C29" s="875"/>
      <c r="D29" s="875"/>
      <c r="E29" s="218"/>
      <c r="F29" s="218"/>
      <c r="G29" s="218"/>
      <c r="H29" s="208">
        <f t="shared" ref="H29:H32" si="5">SUM(E29:G29)</f>
        <v>0</v>
      </c>
    </row>
    <row r="30" spans="1:8" ht="26.45" customHeight="1" x14ac:dyDescent="0.2">
      <c r="A30" s="212" t="s">
        <v>301</v>
      </c>
      <c r="B30" s="875">
        <f t="shared" si="4"/>
        <v>0</v>
      </c>
      <c r="C30" s="875"/>
      <c r="D30" s="875"/>
      <c r="E30" s="218"/>
      <c r="F30" s="218"/>
      <c r="G30" s="218"/>
      <c r="H30" s="208">
        <f t="shared" si="5"/>
        <v>0</v>
      </c>
    </row>
    <row r="31" spans="1:8" ht="26.45" customHeight="1" x14ac:dyDescent="0.2">
      <c r="A31" s="212" t="s">
        <v>300</v>
      </c>
      <c r="B31" s="875">
        <f t="shared" si="4"/>
        <v>0</v>
      </c>
      <c r="C31" s="875"/>
      <c r="D31" s="875"/>
      <c r="E31" s="218"/>
      <c r="F31" s="218"/>
      <c r="G31" s="218"/>
      <c r="H31" s="208">
        <f t="shared" si="5"/>
        <v>0</v>
      </c>
    </row>
    <row r="32" spans="1:8" ht="26.45" customHeight="1" x14ac:dyDescent="0.2">
      <c r="A32" s="212" t="s">
        <v>299</v>
      </c>
      <c r="B32" s="873" t="s">
        <v>321</v>
      </c>
      <c r="C32" s="865"/>
      <c r="D32" s="865"/>
      <c r="E32" s="208">
        <f>SUM(E28:E31)</f>
        <v>0</v>
      </c>
      <c r="F32" s="208">
        <f t="shared" ref="F32:G32" si="6">SUM(F28:F31)</f>
        <v>0</v>
      </c>
      <c r="G32" s="208">
        <f t="shared" si="6"/>
        <v>0</v>
      </c>
      <c r="H32" s="208">
        <f t="shared" si="5"/>
        <v>0</v>
      </c>
    </row>
    <row r="33" spans="1:8" ht="26.45" customHeight="1" x14ac:dyDescent="0.2">
      <c r="A33" s="869" t="s">
        <v>304</v>
      </c>
      <c r="B33" s="869"/>
      <c r="C33" s="869"/>
      <c r="D33" s="869"/>
      <c r="E33" s="869"/>
      <c r="F33" s="869"/>
      <c r="G33" s="869"/>
      <c r="H33" s="869"/>
    </row>
    <row r="34" spans="1:8" ht="13.15" customHeight="1" x14ac:dyDescent="0.2">
      <c r="A34" s="210"/>
      <c r="B34" s="865"/>
      <c r="C34" s="865"/>
      <c r="D34" s="214" t="s">
        <v>324</v>
      </c>
      <c r="E34" s="214" t="s">
        <v>325</v>
      </c>
      <c r="F34" s="214" t="s">
        <v>326</v>
      </c>
      <c r="G34" s="214" t="s">
        <v>327</v>
      </c>
      <c r="H34" s="214" t="s">
        <v>328</v>
      </c>
    </row>
    <row r="35" spans="1:8" ht="26.45" customHeight="1" x14ac:dyDescent="0.2">
      <c r="A35" s="212" t="s">
        <v>306</v>
      </c>
      <c r="B35" s="873" t="s">
        <v>64</v>
      </c>
      <c r="C35" s="873"/>
      <c r="D35" s="208">
        <f>IF('Personnel Yr 1'!N5="Federal",D23,0)</f>
        <v>0</v>
      </c>
      <c r="E35" s="208">
        <f>D35/4</f>
        <v>0</v>
      </c>
      <c r="F35" s="208">
        <f>D35/4</f>
        <v>0</v>
      </c>
      <c r="G35" s="208">
        <f>D35/4</f>
        <v>0</v>
      </c>
      <c r="H35" s="208">
        <f>D35/4</f>
        <v>0</v>
      </c>
    </row>
    <row r="36" spans="1:8" ht="26.45" customHeight="1" x14ac:dyDescent="0.2">
      <c r="A36" s="212" t="s">
        <v>307</v>
      </c>
      <c r="B36" s="873" t="s">
        <v>322</v>
      </c>
      <c r="C36" s="865"/>
      <c r="D36" s="208">
        <f>IF('Personnel Yr 1'!N5&lt;&gt;"Federal",D23,0)</f>
        <v>0</v>
      </c>
      <c r="E36" s="208">
        <f>D36/4</f>
        <v>0</v>
      </c>
      <c r="F36" s="208">
        <f>D36/4</f>
        <v>0</v>
      </c>
      <c r="G36" s="208">
        <f>D36/4</f>
        <v>0</v>
      </c>
      <c r="H36" s="208">
        <f>D36/4</f>
        <v>0</v>
      </c>
    </row>
    <row r="37" spans="1:8" ht="26.45" customHeight="1" x14ac:dyDescent="0.2">
      <c r="A37" s="212" t="s">
        <v>308</v>
      </c>
      <c r="B37" s="873" t="s">
        <v>323</v>
      </c>
      <c r="C37" s="865"/>
      <c r="D37" s="208">
        <f>SUM(D35:D36)</f>
        <v>0</v>
      </c>
      <c r="E37" s="208">
        <f t="shared" ref="E37:G37" si="7">SUM(E35:E36)</f>
        <v>0</v>
      </c>
      <c r="F37" s="208">
        <f t="shared" si="7"/>
        <v>0</v>
      </c>
      <c r="G37" s="208">
        <f t="shared" si="7"/>
        <v>0</v>
      </c>
      <c r="H37" s="208">
        <f>SUM(H35:H36)</f>
        <v>0</v>
      </c>
    </row>
    <row r="38" spans="1:8" ht="26.45" customHeight="1" x14ac:dyDescent="0.2">
      <c r="A38" s="869" t="s">
        <v>305</v>
      </c>
      <c r="B38" s="869"/>
      <c r="C38" s="869"/>
      <c r="D38" s="869"/>
      <c r="E38" s="869"/>
      <c r="F38" s="869"/>
      <c r="G38" s="869"/>
      <c r="H38" s="869"/>
    </row>
    <row r="39" spans="1:8" ht="13.15" customHeight="1" x14ac:dyDescent="0.2">
      <c r="A39" s="876" t="s">
        <v>320</v>
      </c>
      <c r="B39" s="876"/>
      <c r="C39" s="876"/>
      <c r="D39" s="876"/>
      <c r="E39" s="868" t="s">
        <v>329</v>
      </c>
      <c r="F39" s="868"/>
      <c r="G39" s="868"/>
      <c r="H39" s="868"/>
    </row>
    <row r="40" spans="1:8" ht="13.15" customHeight="1" x14ac:dyDescent="0.2">
      <c r="A40" s="876"/>
      <c r="B40" s="876"/>
      <c r="C40" s="876"/>
      <c r="D40" s="876"/>
      <c r="E40" s="216" t="s">
        <v>330</v>
      </c>
      <c r="F40" s="216" t="s">
        <v>331</v>
      </c>
      <c r="G40" s="216" t="s">
        <v>332</v>
      </c>
      <c r="H40" s="216" t="s">
        <v>333</v>
      </c>
    </row>
    <row r="41" spans="1:8" ht="26.45" customHeight="1" x14ac:dyDescent="0.2">
      <c r="A41" s="212" t="s">
        <v>309</v>
      </c>
      <c r="B41" s="875">
        <f>B5</f>
        <v>0</v>
      </c>
      <c r="C41" s="875"/>
      <c r="D41" s="875"/>
      <c r="E41" s="218"/>
      <c r="F41" s="218"/>
      <c r="G41" s="218"/>
      <c r="H41" s="218"/>
    </row>
    <row r="42" spans="1:8" ht="26.45" customHeight="1" x14ac:dyDescent="0.2">
      <c r="A42" s="212" t="s">
        <v>310</v>
      </c>
      <c r="B42" s="875">
        <f t="shared" ref="B42:B44" si="8">B6</f>
        <v>0</v>
      </c>
      <c r="C42" s="875"/>
      <c r="D42" s="875"/>
      <c r="E42" s="218"/>
      <c r="F42" s="218"/>
      <c r="G42" s="218"/>
      <c r="H42" s="218"/>
    </row>
    <row r="43" spans="1:8" ht="26.45" customHeight="1" x14ac:dyDescent="0.2">
      <c r="A43" s="212" t="s">
        <v>311</v>
      </c>
      <c r="B43" s="875">
        <f t="shared" si="8"/>
        <v>0</v>
      </c>
      <c r="C43" s="875"/>
      <c r="D43" s="875"/>
      <c r="E43" s="218"/>
      <c r="F43" s="218"/>
      <c r="G43" s="218"/>
      <c r="H43" s="218"/>
    </row>
    <row r="44" spans="1:8" ht="26.45" customHeight="1" x14ac:dyDescent="0.2">
      <c r="A44" s="212" t="s">
        <v>312</v>
      </c>
      <c r="B44" s="875">
        <f t="shared" si="8"/>
        <v>0</v>
      </c>
      <c r="C44" s="875"/>
      <c r="D44" s="875"/>
      <c r="E44" s="218"/>
      <c r="F44" s="218"/>
      <c r="G44" s="218"/>
      <c r="H44" s="218"/>
    </row>
    <row r="45" spans="1:8" ht="26.45" customHeight="1" x14ac:dyDescent="0.2">
      <c r="A45" s="212" t="s">
        <v>313</v>
      </c>
      <c r="B45" s="865" t="s">
        <v>334</v>
      </c>
      <c r="C45" s="865"/>
      <c r="D45" s="865"/>
      <c r="E45" s="207">
        <f>SUM(E41:E44)</f>
        <v>0</v>
      </c>
      <c r="F45" s="207">
        <f t="shared" ref="F45:H45" si="9">SUM(F41:F44)</f>
        <v>0</v>
      </c>
      <c r="G45" s="207">
        <f t="shared" si="9"/>
        <v>0</v>
      </c>
      <c r="H45" s="207">
        <f t="shared" si="9"/>
        <v>0</v>
      </c>
    </row>
    <row r="46" spans="1:8" ht="26.45" customHeight="1" x14ac:dyDescent="0.2">
      <c r="A46" s="869" t="s">
        <v>335</v>
      </c>
      <c r="B46" s="869"/>
      <c r="C46" s="869"/>
      <c r="D46" s="869"/>
      <c r="E46" s="869"/>
      <c r="F46" s="869"/>
      <c r="G46" s="869"/>
      <c r="H46" s="869"/>
    </row>
    <row r="47" spans="1:8" ht="13.15" customHeight="1" x14ac:dyDescent="0.2">
      <c r="A47" s="212" t="s">
        <v>314</v>
      </c>
      <c r="B47" s="865" t="s">
        <v>336</v>
      </c>
      <c r="C47" s="865"/>
      <c r="D47" s="865"/>
      <c r="E47" s="217" t="s">
        <v>338</v>
      </c>
      <c r="F47" s="865" t="s">
        <v>339</v>
      </c>
      <c r="G47" s="865"/>
      <c r="H47" s="865"/>
    </row>
    <row r="48" spans="1:8" ht="13.15" customHeight="1" x14ac:dyDescent="0.2">
      <c r="A48" s="212"/>
      <c r="B48" s="878">
        <f>D21</f>
        <v>0</v>
      </c>
      <c r="C48" s="878"/>
      <c r="D48" s="878"/>
      <c r="E48" s="210"/>
      <c r="F48" s="878">
        <f>D22</f>
        <v>0</v>
      </c>
      <c r="G48" s="878"/>
      <c r="H48" s="878"/>
    </row>
    <row r="49" spans="1:8" ht="26.45" customHeight="1" x14ac:dyDescent="0.2">
      <c r="A49" s="212" t="s">
        <v>315</v>
      </c>
      <c r="B49" s="210" t="s">
        <v>337</v>
      </c>
      <c r="C49" s="877"/>
      <c r="D49" s="877"/>
      <c r="E49" s="877"/>
      <c r="F49" s="877"/>
      <c r="G49" s="877"/>
      <c r="H49" s="877"/>
    </row>
  </sheetData>
  <sheetProtection algorithmName="SHA-512" hashValue="1Coi7Odydmru+9vaKKStlsbGH6FQYaiWS9nqwoyFncdaTAf5wYYcexSCxKgVdroitqNcLYE3Y10KKe75y4VqmQ==" saltValue="UUj8VedIT3bEe/ji5JuoXQ==" spinCount="100000" sheet="1" objects="1" scenarios="1"/>
  <mergeCells count="50">
    <mergeCell ref="C49:H49"/>
    <mergeCell ref="F47:H47"/>
    <mergeCell ref="F48:H48"/>
    <mergeCell ref="B9:C9"/>
    <mergeCell ref="A1:H1"/>
    <mergeCell ref="B43:D43"/>
    <mergeCell ref="B42:D42"/>
    <mergeCell ref="B41:D41"/>
    <mergeCell ref="B47:D47"/>
    <mergeCell ref="B48:D48"/>
    <mergeCell ref="B37:C37"/>
    <mergeCell ref="B36:C36"/>
    <mergeCell ref="B35:C35"/>
    <mergeCell ref="B34:C34"/>
    <mergeCell ref="B30:D30"/>
    <mergeCell ref="B29:D29"/>
    <mergeCell ref="A33:H33"/>
    <mergeCell ref="A38:H38"/>
    <mergeCell ref="A46:H46"/>
    <mergeCell ref="A39:D40"/>
    <mergeCell ref="E39:H39"/>
    <mergeCell ref="B45:D45"/>
    <mergeCell ref="B44:D44"/>
    <mergeCell ref="A24:H24"/>
    <mergeCell ref="A25:C25"/>
    <mergeCell ref="A26:H26"/>
    <mergeCell ref="A27:D27"/>
    <mergeCell ref="B32:D32"/>
    <mergeCell ref="B31:D31"/>
    <mergeCell ref="B28:D28"/>
    <mergeCell ref="A2:H2"/>
    <mergeCell ref="A10:H10"/>
    <mergeCell ref="A11:C12"/>
    <mergeCell ref="D11:G11"/>
    <mergeCell ref="H11:H12"/>
    <mergeCell ref="B18:C18"/>
    <mergeCell ref="B17:C17"/>
    <mergeCell ref="B16:C16"/>
    <mergeCell ref="B15:C15"/>
    <mergeCell ref="B14:C14"/>
    <mergeCell ref="B13:C13"/>
    <mergeCell ref="D3:E3"/>
    <mergeCell ref="F3:H3"/>
    <mergeCell ref="B3:B4"/>
    <mergeCell ref="C3:C4"/>
    <mergeCell ref="B23:C23"/>
    <mergeCell ref="B22:C22"/>
    <mergeCell ref="B21:C21"/>
    <mergeCell ref="B20:C20"/>
    <mergeCell ref="B19:C19"/>
  </mergeCells>
  <printOptions horizontalCentered="1"/>
  <pageMargins left="0.5" right="0.5" top="0.5" bottom="0.25" header="0.5" footer="0.25"/>
  <pageSetup orientation="landscape" verticalDpi="0" r:id="rId1"/>
  <ignoredErrors>
    <ignoredError sqref="E47 A47:A49 A41:A45 A34:A37 A28:A32 A5:A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6"/>
  <sheetViews>
    <sheetView workbookViewId="0">
      <selection sqref="A1:M1"/>
    </sheetView>
  </sheetViews>
  <sheetFormatPr defaultRowHeight="12.75" x14ac:dyDescent="0.2"/>
  <cols>
    <col min="1" max="1" width="3.28515625" style="229" customWidth="1"/>
    <col min="2" max="2" width="7.85546875" style="229" customWidth="1"/>
    <col min="3" max="5" width="7.85546875" style="220" customWidth="1"/>
    <col min="6" max="10" width="7.85546875" style="9" customWidth="1"/>
    <col min="11" max="17" width="7.85546875" style="220" customWidth="1"/>
  </cols>
  <sheetData>
    <row r="1" spans="1:17" ht="16.899999999999999" customHeight="1" thickTop="1" x14ac:dyDescent="0.2">
      <c r="A1" s="932" t="s">
        <v>341</v>
      </c>
      <c r="B1" s="933"/>
      <c r="C1" s="933"/>
      <c r="D1" s="933"/>
      <c r="E1" s="933"/>
      <c r="F1" s="933"/>
      <c r="G1" s="933"/>
      <c r="H1" s="933"/>
      <c r="I1" s="933"/>
      <c r="J1" s="933"/>
      <c r="K1" s="933"/>
      <c r="L1" s="933"/>
      <c r="M1" s="934"/>
      <c r="N1" s="920" t="s">
        <v>344</v>
      </c>
      <c r="O1" s="921"/>
      <c r="P1" s="921"/>
      <c r="Q1" s="922"/>
    </row>
    <row r="2" spans="1:17" ht="16.899999999999999" customHeight="1" x14ac:dyDescent="0.2">
      <c r="A2" s="880" t="s">
        <v>342</v>
      </c>
      <c r="B2" s="881"/>
      <c r="C2" s="881"/>
      <c r="D2" s="881"/>
      <c r="E2" s="881"/>
      <c r="F2" s="881"/>
      <c r="G2" s="881"/>
      <c r="H2" s="881"/>
      <c r="I2" s="881"/>
      <c r="J2" s="881"/>
      <c r="K2" s="881"/>
      <c r="L2" s="881"/>
      <c r="M2" s="882"/>
      <c r="N2" s="908" t="s">
        <v>407</v>
      </c>
      <c r="O2" s="883"/>
      <c r="P2" s="883"/>
      <c r="Q2" s="884"/>
    </row>
    <row r="3" spans="1:17" ht="16.899999999999999" customHeight="1" thickBot="1" x14ac:dyDescent="0.25">
      <c r="A3" s="880" t="s">
        <v>343</v>
      </c>
      <c r="B3" s="881"/>
      <c r="C3" s="881"/>
      <c r="D3" s="881"/>
      <c r="E3" s="881"/>
      <c r="F3" s="881"/>
      <c r="G3" s="881"/>
      <c r="H3" s="881"/>
      <c r="I3" s="881"/>
      <c r="J3" s="881"/>
      <c r="K3" s="881"/>
      <c r="L3" s="881"/>
      <c r="M3" s="882"/>
      <c r="N3" s="923"/>
      <c r="O3" s="924"/>
      <c r="P3" s="924"/>
      <c r="Q3" s="925"/>
    </row>
    <row r="4" spans="1:17" ht="16.899999999999999" customHeight="1" x14ac:dyDescent="0.2">
      <c r="A4" s="912" t="s">
        <v>345</v>
      </c>
      <c r="B4" s="913"/>
      <c r="C4" s="913"/>
      <c r="D4" s="913"/>
      <c r="E4" s="913"/>
      <c r="F4" s="913"/>
      <c r="G4" s="913"/>
      <c r="H4" s="913"/>
      <c r="I4" s="905" t="s">
        <v>346</v>
      </c>
      <c r="J4" s="906"/>
      <c r="K4" s="906"/>
      <c r="L4" s="906"/>
      <c r="M4" s="906"/>
      <c r="N4" s="906"/>
      <c r="O4" s="906"/>
      <c r="P4" s="906"/>
      <c r="Q4" s="907"/>
    </row>
    <row r="5" spans="1:17" ht="16.899999999999999" customHeight="1" x14ac:dyDescent="0.2">
      <c r="A5" s="914" t="s">
        <v>362</v>
      </c>
      <c r="B5" s="883"/>
      <c r="C5" s="883"/>
      <c r="D5" s="883"/>
      <c r="E5" s="883"/>
      <c r="F5" s="883"/>
      <c r="G5" s="883"/>
      <c r="H5" s="883"/>
      <c r="I5" s="908"/>
      <c r="J5" s="883"/>
      <c r="K5" s="883"/>
      <c r="L5" s="883"/>
      <c r="M5" s="883"/>
      <c r="N5" s="883"/>
      <c r="O5" s="883"/>
      <c r="P5" s="883"/>
      <c r="Q5" s="884"/>
    </row>
    <row r="6" spans="1:17" ht="16.899999999999999" customHeight="1" thickBot="1" x14ac:dyDescent="0.25">
      <c r="A6" s="915"/>
      <c r="B6" s="910"/>
      <c r="C6" s="910"/>
      <c r="D6" s="910"/>
      <c r="E6" s="910"/>
      <c r="F6" s="910"/>
      <c r="G6" s="910"/>
      <c r="H6" s="910"/>
      <c r="I6" s="909"/>
      <c r="J6" s="910"/>
      <c r="K6" s="910"/>
      <c r="L6" s="910"/>
      <c r="M6" s="910"/>
      <c r="N6" s="910"/>
      <c r="O6" s="910"/>
      <c r="P6" s="910"/>
      <c r="Q6" s="911"/>
    </row>
    <row r="7" spans="1:17" ht="16.899999999999999" customHeight="1" x14ac:dyDescent="0.2">
      <c r="A7" s="898" t="s">
        <v>296</v>
      </c>
      <c r="B7" s="899"/>
      <c r="C7" s="899"/>
      <c r="D7" s="899"/>
      <c r="E7" s="899"/>
      <c r="F7" s="899"/>
      <c r="G7" s="899"/>
      <c r="H7" s="899"/>
      <c r="I7" s="899"/>
      <c r="J7" s="899"/>
      <c r="K7" s="899"/>
      <c r="L7" s="899"/>
      <c r="M7" s="899"/>
      <c r="N7" s="899"/>
      <c r="O7" s="899"/>
      <c r="P7" s="899"/>
      <c r="Q7" s="900"/>
    </row>
    <row r="8" spans="1:17" ht="16.899999999999999" customHeight="1" thickBot="1" x14ac:dyDescent="0.25">
      <c r="A8" s="898" t="s">
        <v>347</v>
      </c>
      <c r="B8" s="899"/>
      <c r="C8" s="899"/>
      <c r="D8" s="899"/>
      <c r="E8" s="899"/>
      <c r="F8" s="899"/>
      <c r="G8" s="899"/>
      <c r="H8" s="899"/>
      <c r="I8" s="899"/>
      <c r="J8" s="899"/>
      <c r="K8" s="899"/>
      <c r="L8" s="899"/>
      <c r="M8" s="899"/>
      <c r="N8" s="899"/>
      <c r="O8" s="899"/>
      <c r="P8" s="899"/>
      <c r="Q8" s="900"/>
    </row>
    <row r="9" spans="1:17" ht="16.899999999999999" customHeight="1" thickBot="1" x14ac:dyDescent="0.25">
      <c r="A9" s="935" t="s">
        <v>348</v>
      </c>
      <c r="B9" s="936"/>
      <c r="C9" s="936"/>
      <c r="D9" s="936"/>
      <c r="E9" s="936"/>
      <c r="F9" s="890" t="s">
        <v>349</v>
      </c>
      <c r="G9" s="890"/>
      <c r="H9" s="890" t="s">
        <v>351</v>
      </c>
      <c r="I9" s="890"/>
      <c r="J9" s="890" t="s">
        <v>353</v>
      </c>
      <c r="K9" s="890"/>
      <c r="L9" s="890" t="s">
        <v>355</v>
      </c>
      <c r="M9" s="890"/>
      <c r="N9" s="890" t="s">
        <v>357</v>
      </c>
      <c r="O9" s="890"/>
      <c r="P9" s="890" t="s">
        <v>40</v>
      </c>
      <c r="Q9" s="901"/>
    </row>
    <row r="10" spans="1:17" ht="16.899999999999999" customHeight="1" thickBot="1" x14ac:dyDescent="0.25">
      <c r="A10" s="935"/>
      <c r="B10" s="936"/>
      <c r="C10" s="936"/>
      <c r="D10" s="936"/>
      <c r="E10" s="936"/>
      <c r="F10" s="891" t="s">
        <v>350</v>
      </c>
      <c r="G10" s="891"/>
      <c r="H10" s="891" t="s">
        <v>352</v>
      </c>
      <c r="I10" s="891"/>
      <c r="J10" s="891" t="s">
        <v>354</v>
      </c>
      <c r="K10" s="891"/>
      <c r="L10" s="891" t="s">
        <v>356</v>
      </c>
      <c r="M10" s="891"/>
      <c r="N10" s="891" t="s">
        <v>358</v>
      </c>
      <c r="O10" s="891"/>
      <c r="P10" s="891" t="s">
        <v>359</v>
      </c>
      <c r="Q10" s="904"/>
    </row>
    <row r="11" spans="1:17" ht="16.899999999999999" customHeight="1" thickBot="1" x14ac:dyDescent="0.25">
      <c r="A11" s="235" t="s">
        <v>278</v>
      </c>
      <c r="B11" s="888" t="s">
        <v>382</v>
      </c>
      <c r="C11" s="888"/>
      <c r="D11" s="888"/>
      <c r="E11" s="889"/>
      <c r="F11" s="886">
        <f>'CUSE Grant Budget Form'!C114</f>
        <v>0</v>
      </c>
      <c r="G11" s="887"/>
      <c r="H11" s="886">
        <f>'CUSE Grant Budget Form'!D114</f>
        <v>0</v>
      </c>
      <c r="I11" s="887"/>
      <c r="J11" s="886">
        <f>'CUSE Grant Budget Form'!E114</f>
        <v>0</v>
      </c>
      <c r="K11" s="887"/>
      <c r="L11" s="886">
        <f>'CUSE Grant Budget Form'!F114</f>
        <v>0</v>
      </c>
      <c r="M11" s="887"/>
      <c r="N11" s="886">
        <f>'CUSE Grant Budget Form'!G114</f>
        <v>0</v>
      </c>
      <c r="O11" s="887"/>
      <c r="P11" s="886">
        <f t="shared" ref="P11:P16" si="0">SUM(F11:O11)</f>
        <v>0</v>
      </c>
      <c r="Q11" s="896"/>
    </row>
    <row r="12" spans="1:17" ht="16.899999999999999" customHeight="1" thickBot="1" x14ac:dyDescent="0.25">
      <c r="A12" s="235" t="s">
        <v>279</v>
      </c>
      <c r="B12" s="888" t="s">
        <v>45</v>
      </c>
      <c r="C12" s="888"/>
      <c r="D12" s="888"/>
      <c r="E12" s="889"/>
      <c r="F12" s="886">
        <f>'CUSE Grant Budget Form'!C122</f>
        <v>0</v>
      </c>
      <c r="G12" s="887"/>
      <c r="H12" s="886">
        <f>'CUSE Grant Budget Form'!D122</f>
        <v>0</v>
      </c>
      <c r="I12" s="887"/>
      <c r="J12" s="886">
        <f>'CUSE Grant Budget Form'!E122</f>
        <v>0</v>
      </c>
      <c r="K12" s="887"/>
      <c r="L12" s="886">
        <f>'CUSE Grant Budget Form'!F122</f>
        <v>0</v>
      </c>
      <c r="M12" s="887"/>
      <c r="N12" s="886">
        <f>'CUSE Grant Budget Form'!G122</f>
        <v>0</v>
      </c>
      <c r="O12" s="887"/>
      <c r="P12" s="886">
        <f t="shared" si="0"/>
        <v>0</v>
      </c>
      <c r="Q12" s="896"/>
    </row>
    <row r="13" spans="1:17" ht="16.899999999999999" customHeight="1" thickBot="1" x14ac:dyDescent="0.25">
      <c r="A13" s="235" t="s">
        <v>280</v>
      </c>
      <c r="B13" s="888" t="s">
        <v>28</v>
      </c>
      <c r="C13" s="888"/>
      <c r="D13" s="888"/>
      <c r="E13" s="889"/>
      <c r="F13" s="886">
        <f>'CUSE Grant Budget Form'!C133</f>
        <v>0</v>
      </c>
      <c r="G13" s="887"/>
      <c r="H13" s="886">
        <f>'CUSE Grant Budget Form'!D133</f>
        <v>0</v>
      </c>
      <c r="I13" s="887"/>
      <c r="J13" s="886">
        <f>'CUSE Grant Budget Form'!E133</f>
        <v>0</v>
      </c>
      <c r="K13" s="887"/>
      <c r="L13" s="886">
        <f>'CUSE Grant Budget Form'!F133</f>
        <v>0</v>
      </c>
      <c r="M13" s="887"/>
      <c r="N13" s="886">
        <f>'CUSE Grant Budget Form'!G133</f>
        <v>0</v>
      </c>
      <c r="O13" s="887"/>
      <c r="P13" s="886">
        <f t="shared" si="0"/>
        <v>0</v>
      </c>
      <c r="Q13" s="896"/>
    </row>
    <row r="14" spans="1:17" ht="16.899999999999999" customHeight="1" thickBot="1" x14ac:dyDescent="0.25">
      <c r="A14" s="235" t="s">
        <v>281</v>
      </c>
      <c r="B14" s="888" t="s">
        <v>383</v>
      </c>
      <c r="C14" s="888"/>
      <c r="D14" s="888"/>
      <c r="E14" s="889"/>
      <c r="F14" s="886">
        <f>'CUSE Grant Budget Form'!C128</f>
        <v>0</v>
      </c>
      <c r="G14" s="887"/>
      <c r="H14" s="886">
        <f>'CUSE Grant Budget Form'!D128</f>
        <v>0</v>
      </c>
      <c r="I14" s="887"/>
      <c r="J14" s="886">
        <f>'CUSE Grant Budget Form'!E128</f>
        <v>0</v>
      </c>
      <c r="K14" s="887"/>
      <c r="L14" s="886">
        <f>'CUSE Grant Budget Form'!F128</f>
        <v>0</v>
      </c>
      <c r="M14" s="887"/>
      <c r="N14" s="886">
        <f>'CUSE Grant Budget Form'!G128</f>
        <v>0</v>
      </c>
      <c r="O14" s="887"/>
      <c r="P14" s="886">
        <f t="shared" si="0"/>
        <v>0</v>
      </c>
      <c r="Q14" s="896"/>
    </row>
    <row r="15" spans="1:17" ht="16.899999999999999" customHeight="1" thickBot="1" x14ac:dyDescent="0.25">
      <c r="A15" s="235" t="s">
        <v>371</v>
      </c>
      <c r="B15" s="888" t="s">
        <v>384</v>
      </c>
      <c r="C15" s="888"/>
      <c r="D15" s="888"/>
      <c r="E15" s="889"/>
      <c r="F15" s="886">
        <f>'CUSE Grant Budget Form'!C143</f>
        <v>0</v>
      </c>
      <c r="G15" s="887"/>
      <c r="H15" s="886">
        <f>'CUSE Grant Budget Form'!D143</f>
        <v>0</v>
      </c>
      <c r="I15" s="887"/>
      <c r="J15" s="886">
        <f>'CUSE Grant Budget Form'!E143</f>
        <v>0</v>
      </c>
      <c r="K15" s="887"/>
      <c r="L15" s="886">
        <f>'CUSE Grant Budget Form'!F143</f>
        <v>0</v>
      </c>
      <c r="M15" s="887"/>
      <c r="N15" s="886">
        <f>'CUSE Grant Budget Form'!G143</f>
        <v>0</v>
      </c>
      <c r="O15" s="887"/>
      <c r="P15" s="886">
        <f t="shared" si="0"/>
        <v>0</v>
      </c>
      <c r="Q15" s="896"/>
    </row>
    <row r="16" spans="1:17" ht="16.899999999999999" customHeight="1" thickBot="1" x14ac:dyDescent="0.25">
      <c r="A16" s="235" t="s">
        <v>372</v>
      </c>
      <c r="B16" s="888" t="s">
        <v>385</v>
      </c>
      <c r="C16" s="888"/>
      <c r="D16" s="888"/>
      <c r="E16" s="889"/>
      <c r="F16" s="886">
        <f>SUM('CUSE Grant Budget Form'!C144,'CUSE Grant Budget Form'!C146,'CUSE Grant Budget Form'!C147)</f>
        <v>0</v>
      </c>
      <c r="G16" s="887"/>
      <c r="H16" s="886">
        <f>SUM('CUSE Grant Budget Form'!D144,'CUSE Grant Budget Form'!D146,'CUSE Grant Budget Form'!D147)</f>
        <v>0</v>
      </c>
      <c r="I16" s="887"/>
      <c r="J16" s="886">
        <f>SUM('CUSE Grant Budget Form'!E144,'CUSE Grant Budget Form'!E146,'CUSE Grant Budget Form'!E147)</f>
        <v>0</v>
      </c>
      <c r="K16" s="887"/>
      <c r="L16" s="886">
        <f>SUM('CUSE Grant Budget Form'!F144,'CUSE Grant Budget Form'!F146,'CUSE Grant Budget Form'!F147)</f>
        <v>0</v>
      </c>
      <c r="M16" s="887"/>
      <c r="N16" s="886">
        <f>SUM('CUSE Grant Budget Form'!G144,'CUSE Grant Budget Form'!G146,'CUSE Grant Budget Form'!G147)</f>
        <v>0</v>
      </c>
      <c r="O16" s="887"/>
      <c r="P16" s="886">
        <f t="shared" si="0"/>
        <v>0</v>
      </c>
      <c r="Q16" s="896"/>
    </row>
    <row r="17" spans="1:17" ht="16.899999999999999" customHeight="1" thickBot="1" x14ac:dyDescent="0.25">
      <c r="A17" s="238" t="s">
        <v>373</v>
      </c>
      <c r="B17" s="902" t="s">
        <v>386</v>
      </c>
      <c r="C17" s="902"/>
      <c r="D17" s="902"/>
      <c r="E17" s="903"/>
      <c r="F17" s="894"/>
      <c r="G17" s="895"/>
      <c r="H17" s="892"/>
      <c r="I17" s="893"/>
      <c r="J17" s="892"/>
      <c r="K17" s="893"/>
      <c r="L17" s="892"/>
      <c r="M17" s="893"/>
      <c r="N17" s="892"/>
      <c r="O17" s="893"/>
      <c r="P17" s="892"/>
      <c r="Q17" s="897"/>
    </row>
    <row r="18" spans="1:17" ht="16.899999999999999" customHeight="1" thickBot="1" x14ac:dyDescent="0.25">
      <c r="A18" s="235" t="s">
        <v>374</v>
      </c>
      <c r="B18" s="888" t="s">
        <v>30</v>
      </c>
      <c r="C18" s="888"/>
      <c r="D18" s="888"/>
      <c r="E18" s="889"/>
      <c r="F18" s="886">
        <f>F19-SUM(F11:G16,F21)</f>
        <v>0</v>
      </c>
      <c r="G18" s="887"/>
      <c r="H18" s="886">
        <f>H19-SUM(H11:I16,H21)</f>
        <v>0</v>
      </c>
      <c r="I18" s="887"/>
      <c r="J18" s="886">
        <f>J19-SUM(J11:K16,J21)</f>
        <v>0</v>
      </c>
      <c r="K18" s="887"/>
      <c r="L18" s="886">
        <f>L19-SUM(L11:M16,L21)</f>
        <v>0</v>
      </c>
      <c r="M18" s="887"/>
      <c r="N18" s="886">
        <f>N19-SUM(N11:O16,N21)</f>
        <v>0</v>
      </c>
      <c r="O18" s="887"/>
      <c r="P18" s="886">
        <f>SUM(F18:O18)</f>
        <v>0</v>
      </c>
      <c r="Q18" s="896"/>
    </row>
    <row r="19" spans="1:17" ht="16.899999999999999" customHeight="1" thickBot="1" x14ac:dyDescent="0.25">
      <c r="A19" s="235" t="s">
        <v>375</v>
      </c>
      <c r="B19" s="888" t="s">
        <v>387</v>
      </c>
      <c r="C19" s="888"/>
      <c r="D19" s="888"/>
      <c r="E19" s="889"/>
      <c r="F19" s="886">
        <f>'CUSE Grant Budget Form'!C171</f>
        <v>0</v>
      </c>
      <c r="G19" s="887"/>
      <c r="H19" s="886">
        <f>'CUSE Grant Budget Form'!D171</f>
        <v>0</v>
      </c>
      <c r="I19" s="887"/>
      <c r="J19" s="886">
        <f>'CUSE Grant Budget Form'!E171</f>
        <v>0</v>
      </c>
      <c r="K19" s="887"/>
      <c r="L19" s="886">
        <f>'CUSE Grant Budget Form'!F171</f>
        <v>0</v>
      </c>
      <c r="M19" s="887"/>
      <c r="N19" s="886">
        <f>'CUSE Grant Budget Form'!G171</f>
        <v>0</v>
      </c>
      <c r="O19" s="887"/>
      <c r="P19" s="886">
        <f>SUM(F19:O19)</f>
        <v>0</v>
      </c>
      <c r="Q19" s="896"/>
    </row>
    <row r="20" spans="1:17" ht="16.899999999999999" customHeight="1" thickBot="1" x14ac:dyDescent="0.25">
      <c r="A20" s="235" t="s">
        <v>376</v>
      </c>
      <c r="B20" s="888" t="s">
        <v>388</v>
      </c>
      <c r="C20" s="888"/>
      <c r="D20" s="888"/>
      <c r="E20" s="889"/>
      <c r="F20" s="886">
        <f>'CUSE Grant Budget Form'!C173</f>
        <v>0</v>
      </c>
      <c r="G20" s="887"/>
      <c r="H20" s="886">
        <f>'CUSE Grant Budget Form'!D173</f>
        <v>0</v>
      </c>
      <c r="I20" s="887"/>
      <c r="J20" s="886">
        <f>'CUSE Grant Budget Form'!E173</f>
        <v>0</v>
      </c>
      <c r="K20" s="887"/>
      <c r="L20" s="886">
        <f>'CUSE Grant Budget Form'!F173</f>
        <v>0</v>
      </c>
      <c r="M20" s="887"/>
      <c r="N20" s="886">
        <f>'CUSE Grant Budget Form'!G173</f>
        <v>0</v>
      </c>
      <c r="O20" s="887"/>
      <c r="P20" s="886">
        <f>SUM(F20:O20)</f>
        <v>0</v>
      </c>
      <c r="Q20" s="896"/>
    </row>
    <row r="21" spans="1:17" ht="16.899999999999999" customHeight="1" thickBot="1" x14ac:dyDescent="0.25">
      <c r="A21" s="235" t="s">
        <v>377</v>
      </c>
      <c r="B21" s="888" t="s">
        <v>389</v>
      </c>
      <c r="C21" s="888"/>
      <c r="D21" s="888"/>
      <c r="E21" s="889"/>
      <c r="F21" s="886">
        <f>'CUSE Grant Budget Form'!C136</f>
        <v>0</v>
      </c>
      <c r="G21" s="887"/>
      <c r="H21" s="886">
        <f>'CUSE Grant Budget Form'!D136</f>
        <v>0</v>
      </c>
      <c r="I21" s="887"/>
      <c r="J21" s="886">
        <f>'CUSE Grant Budget Form'!E136</f>
        <v>0</v>
      </c>
      <c r="K21" s="887"/>
      <c r="L21" s="886">
        <f>'CUSE Grant Budget Form'!F136</f>
        <v>0</v>
      </c>
      <c r="M21" s="887"/>
      <c r="N21" s="886">
        <f>'CUSE Grant Budget Form'!G136</f>
        <v>0</v>
      </c>
      <c r="O21" s="887"/>
      <c r="P21" s="886">
        <f>SUM(F21:O21)</f>
        <v>0</v>
      </c>
      <c r="Q21" s="896"/>
    </row>
    <row r="22" spans="1:17" ht="16.899999999999999" customHeight="1" thickBot="1" x14ac:dyDescent="0.25">
      <c r="A22" s="235" t="s">
        <v>370</v>
      </c>
      <c r="B22" s="888" t="s">
        <v>390</v>
      </c>
      <c r="C22" s="888"/>
      <c r="D22" s="888"/>
      <c r="E22" s="889"/>
      <c r="F22" s="886">
        <f>SUM(F19:G20)</f>
        <v>0</v>
      </c>
      <c r="G22" s="887"/>
      <c r="H22" s="886">
        <f>SUM(H19:I20)</f>
        <v>0</v>
      </c>
      <c r="I22" s="887"/>
      <c r="J22" s="886">
        <f>SUM(J19:K20)</f>
        <v>0</v>
      </c>
      <c r="K22" s="887"/>
      <c r="L22" s="886">
        <f>SUM(L19:M20)</f>
        <v>0</v>
      </c>
      <c r="M22" s="887"/>
      <c r="N22" s="886">
        <f>SUM(N19:O20)</f>
        <v>0</v>
      </c>
      <c r="O22" s="887"/>
      <c r="P22" s="886">
        <f>SUM(F22:O22)</f>
        <v>0</v>
      </c>
      <c r="Q22" s="896"/>
    </row>
    <row r="23" spans="1:17" ht="16.899999999999999" customHeight="1" x14ac:dyDescent="0.2">
      <c r="A23" s="232"/>
      <c r="B23" s="937" t="s">
        <v>360</v>
      </c>
      <c r="C23" s="937"/>
      <c r="D23" s="937"/>
      <c r="E23" s="937"/>
      <c r="F23" s="937"/>
      <c r="G23" s="937"/>
      <c r="H23" s="937"/>
      <c r="I23" s="937"/>
      <c r="J23" s="937"/>
      <c r="K23" s="937"/>
      <c r="L23" s="937"/>
      <c r="M23" s="937"/>
      <c r="N23" s="937"/>
      <c r="O23" s="937"/>
      <c r="P23" s="937"/>
      <c r="Q23" s="938"/>
    </row>
    <row r="24" spans="1:17" ht="16.899999999999999" customHeight="1" x14ac:dyDescent="0.2">
      <c r="A24" s="232"/>
      <c r="B24" s="883" t="s">
        <v>361</v>
      </c>
      <c r="C24" s="883"/>
      <c r="D24" s="883"/>
      <c r="E24" s="883"/>
      <c r="F24" s="883"/>
      <c r="G24" s="883"/>
      <c r="H24" s="883"/>
      <c r="I24" s="883"/>
      <c r="J24" s="883"/>
      <c r="K24" s="883"/>
      <c r="L24" s="883"/>
      <c r="M24" s="883"/>
      <c r="N24" s="883"/>
      <c r="O24" s="883"/>
      <c r="P24" s="883"/>
      <c r="Q24" s="884"/>
    </row>
    <row r="25" spans="1:17" ht="16.899999999999999" customHeight="1" x14ac:dyDescent="0.2">
      <c r="A25" s="231" t="s">
        <v>368</v>
      </c>
      <c r="B25" s="883" t="s">
        <v>381</v>
      </c>
      <c r="C25" s="883"/>
      <c r="D25" s="883"/>
      <c r="E25" s="883"/>
      <c r="F25" s="883"/>
      <c r="G25" s="883"/>
      <c r="H25" s="883"/>
      <c r="I25" s="883"/>
      <c r="J25" s="883"/>
      <c r="K25" s="236" t="s">
        <v>396</v>
      </c>
      <c r="L25" s="228" t="s">
        <v>74</v>
      </c>
      <c r="M25" s="239"/>
      <c r="N25" s="113" t="s">
        <v>394</v>
      </c>
      <c r="O25" s="228"/>
      <c r="P25" s="228"/>
      <c r="Q25" s="227"/>
    </row>
    <row r="26" spans="1:17" ht="16.899999999999999" customHeight="1" x14ac:dyDescent="0.2">
      <c r="A26" s="231" t="s">
        <v>363</v>
      </c>
      <c r="B26" s="883" t="s">
        <v>364</v>
      </c>
      <c r="C26" s="883"/>
      <c r="D26" s="883"/>
      <c r="E26" s="883"/>
      <c r="F26" s="883"/>
      <c r="G26" s="883"/>
      <c r="H26" s="883"/>
      <c r="I26" s="883"/>
      <c r="J26" s="883"/>
      <c r="K26" s="883"/>
      <c r="L26" s="883"/>
      <c r="M26" s="883"/>
      <c r="N26" s="883"/>
      <c r="O26" s="883"/>
      <c r="P26" s="883"/>
      <c r="Q26" s="884"/>
    </row>
    <row r="27" spans="1:17" ht="16.899999999999999" customHeight="1" x14ac:dyDescent="0.2">
      <c r="A27" s="232"/>
      <c r="B27" s="926" t="s">
        <v>365</v>
      </c>
      <c r="C27" s="926"/>
      <c r="D27" s="926"/>
      <c r="E27" s="926"/>
      <c r="F27" s="926"/>
      <c r="G27" s="926"/>
      <c r="H27" s="928">
        <v>41456</v>
      </c>
      <c r="I27" s="929"/>
      <c r="J27" s="230" t="s">
        <v>366</v>
      </c>
      <c r="K27" s="930">
        <v>41820</v>
      </c>
      <c r="L27" s="931"/>
      <c r="M27" s="883" t="s">
        <v>367</v>
      </c>
      <c r="N27" s="883"/>
      <c r="O27" s="9"/>
      <c r="P27" s="228"/>
      <c r="Q27" s="227"/>
    </row>
    <row r="28" spans="1:17" ht="16.899999999999999" customHeight="1" x14ac:dyDescent="0.2">
      <c r="A28" s="231" t="s">
        <v>369</v>
      </c>
      <c r="B28" s="883" t="s">
        <v>378</v>
      </c>
      <c r="C28" s="883"/>
      <c r="D28" s="883"/>
      <c r="E28" s="236"/>
      <c r="F28" s="228" t="s">
        <v>380</v>
      </c>
      <c r="G28" s="236" t="s">
        <v>396</v>
      </c>
      <c r="H28" s="883" t="s">
        <v>393</v>
      </c>
      <c r="I28" s="883"/>
      <c r="J28" s="927" t="s">
        <v>398</v>
      </c>
      <c r="K28" s="927"/>
      <c r="L28" s="927"/>
      <c r="M28" s="885" t="s">
        <v>392</v>
      </c>
      <c r="N28" s="885"/>
      <c r="O28" s="885"/>
      <c r="P28" s="918">
        <v>0.48</v>
      </c>
      <c r="Q28" s="919"/>
    </row>
    <row r="29" spans="1:17" ht="16.899999999999999" customHeight="1" x14ac:dyDescent="0.2">
      <c r="A29" s="232"/>
      <c r="B29" s="883" t="s">
        <v>395</v>
      </c>
      <c r="C29" s="883"/>
      <c r="D29" s="883"/>
      <c r="E29" s="883"/>
      <c r="F29" s="883"/>
      <c r="G29" s="883"/>
      <c r="H29" s="883"/>
      <c r="I29" s="883"/>
      <c r="J29" s="883"/>
      <c r="K29" s="883"/>
      <c r="L29" s="883"/>
      <c r="M29" s="883"/>
      <c r="N29" s="883"/>
      <c r="O29" s="883"/>
      <c r="P29" s="883"/>
      <c r="Q29" s="884"/>
    </row>
    <row r="30" spans="1:17" ht="16.899999999999999" customHeight="1" x14ac:dyDescent="0.2">
      <c r="A30" s="232"/>
      <c r="B30" s="236"/>
      <c r="C30" s="883" t="s">
        <v>379</v>
      </c>
      <c r="D30" s="883"/>
      <c r="E30" s="883"/>
      <c r="F30" s="883"/>
      <c r="G30" s="883"/>
      <c r="H30" s="883"/>
      <c r="I30" s="883"/>
      <c r="J30" s="883"/>
      <c r="K30" s="883"/>
      <c r="L30" s="883"/>
      <c r="M30" s="883"/>
      <c r="N30" s="883"/>
      <c r="O30" s="883"/>
      <c r="P30" s="883"/>
      <c r="Q30" s="884"/>
    </row>
    <row r="31" spans="1:17" ht="16.899999999999999" customHeight="1" x14ac:dyDescent="0.2">
      <c r="A31" s="232"/>
      <c r="B31" s="236"/>
      <c r="C31" s="916" t="s">
        <v>391</v>
      </c>
      <c r="D31" s="916"/>
      <c r="E31" s="916"/>
      <c r="F31" s="916"/>
      <c r="G31" s="916"/>
      <c r="H31" s="916"/>
      <c r="I31" s="916"/>
      <c r="J31" s="916"/>
      <c r="K31" s="916"/>
      <c r="L31" s="916"/>
      <c r="M31" s="916"/>
      <c r="N31" s="916"/>
      <c r="O31" s="916"/>
      <c r="P31" s="916"/>
      <c r="Q31" s="917"/>
    </row>
    <row r="32" spans="1:17" ht="16.899999999999999" customHeight="1" x14ac:dyDescent="0.2">
      <c r="A32" s="232"/>
      <c r="B32" s="237"/>
      <c r="C32" s="916" t="s">
        <v>397</v>
      </c>
      <c r="D32" s="916"/>
      <c r="E32" s="916"/>
      <c r="F32" s="916"/>
      <c r="G32" s="916"/>
      <c r="H32" s="916"/>
      <c r="I32" s="916"/>
      <c r="J32" s="916"/>
      <c r="K32" s="916"/>
      <c r="L32" s="916"/>
      <c r="M32" s="916"/>
      <c r="N32" s="916"/>
      <c r="O32" s="916"/>
      <c r="P32" s="916"/>
      <c r="Q32" s="917"/>
    </row>
    <row r="33" spans="1:17" ht="16.899999999999999" customHeight="1" thickBot="1" x14ac:dyDescent="0.25">
      <c r="A33" s="233"/>
      <c r="B33" s="234"/>
      <c r="C33" s="225"/>
      <c r="D33" s="225"/>
      <c r="E33" s="225"/>
      <c r="F33" s="225"/>
      <c r="G33" s="225"/>
      <c r="H33" s="225"/>
      <c r="I33" s="225"/>
      <c r="J33" s="225"/>
      <c r="K33" s="225"/>
      <c r="L33" s="225"/>
      <c r="M33" s="225"/>
      <c r="N33" s="225"/>
      <c r="O33" s="225"/>
      <c r="P33" s="225"/>
      <c r="Q33" s="226"/>
    </row>
    <row r="34" spans="1:17" ht="16.899999999999999" customHeight="1" thickTop="1" x14ac:dyDescent="0.2"/>
    <row r="35" spans="1:17" ht="16.899999999999999" customHeight="1" x14ac:dyDescent="0.2"/>
    <row r="36" spans="1:17" ht="16.899999999999999" customHeight="1" x14ac:dyDescent="0.2"/>
  </sheetData>
  <sheetProtection algorithmName="SHA-512" hashValue="VeaOHii0RK55fLkpgcxzlhXWanwSaoJiDjQkTBAcfXLDQHzHGZCg+JNwFo58kTcwgnUJmxo4C2IA5yFMDkrZlw==" saltValue="HShB8bFUQpEtgqelCh4KQw==" spinCount="100000" sheet="1" objects="1" scenarios="1"/>
  <mergeCells count="125">
    <mergeCell ref="I4:Q6"/>
    <mergeCell ref="A4:H4"/>
    <mergeCell ref="A5:H6"/>
    <mergeCell ref="C30:Q30"/>
    <mergeCell ref="C32:Q32"/>
    <mergeCell ref="C31:Q31"/>
    <mergeCell ref="P28:Q28"/>
    <mergeCell ref="M27:N27"/>
    <mergeCell ref="N1:Q1"/>
    <mergeCell ref="N2:Q2"/>
    <mergeCell ref="N3:Q3"/>
    <mergeCell ref="B26:Q26"/>
    <mergeCell ref="B27:G27"/>
    <mergeCell ref="B28:D28"/>
    <mergeCell ref="H28:I28"/>
    <mergeCell ref="J28:L28"/>
    <mergeCell ref="H27:I27"/>
    <mergeCell ref="K27:L27"/>
    <mergeCell ref="A2:M2"/>
    <mergeCell ref="A1:M1"/>
    <mergeCell ref="A9:E10"/>
    <mergeCell ref="B23:Q23"/>
    <mergeCell ref="B24:Q24"/>
    <mergeCell ref="B25:J25"/>
    <mergeCell ref="A7:Q7"/>
    <mergeCell ref="A8:Q8"/>
    <mergeCell ref="P9:Q9"/>
    <mergeCell ref="B11:E11"/>
    <mergeCell ref="B12:E12"/>
    <mergeCell ref="B22:E22"/>
    <mergeCell ref="B21:E21"/>
    <mergeCell ref="B20:E20"/>
    <mergeCell ref="B19:E19"/>
    <mergeCell ref="B18:E18"/>
    <mergeCell ref="B17:E17"/>
    <mergeCell ref="P15:Q15"/>
    <mergeCell ref="P14:Q14"/>
    <mergeCell ref="P13:Q13"/>
    <mergeCell ref="P12:Q12"/>
    <mergeCell ref="P11:Q11"/>
    <mergeCell ref="P10:Q10"/>
    <mergeCell ref="N11:O11"/>
    <mergeCell ref="N10:O10"/>
    <mergeCell ref="N9:O9"/>
    <mergeCell ref="P22:Q22"/>
    <mergeCell ref="P21:Q21"/>
    <mergeCell ref="P20:Q20"/>
    <mergeCell ref="P19:Q19"/>
    <mergeCell ref="P18:Q18"/>
    <mergeCell ref="P17:Q17"/>
    <mergeCell ref="P16:Q16"/>
    <mergeCell ref="N17:O17"/>
    <mergeCell ref="N16:O16"/>
    <mergeCell ref="N15:O15"/>
    <mergeCell ref="N14:O14"/>
    <mergeCell ref="N13:O13"/>
    <mergeCell ref="N12:O12"/>
    <mergeCell ref="L9:M9"/>
    <mergeCell ref="N22:O22"/>
    <mergeCell ref="N21:O21"/>
    <mergeCell ref="N20:O20"/>
    <mergeCell ref="N19:O19"/>
    <mergeCell ref="N18:O18"/>
    <mergeCell ref="L19:M19"/>
    <mergeCell ref="L18:M18"/>
    <mergeCell ref="L17:M17"/>
    <mergeCell ref="L16:M16"/>
    <mergeCell ref="L15:M15"/>
    <mergeCell ref="L14:M14"/>
    <mergeCell ref="J22:K22"/>
    <mergeCell ref="J21:K21"/>
    <mergeCell ref="J20:K20"/>
    <mergeCell ref="L22:M22"/>
    <mergeCell ref="L21:M21"/>
    <mergeCell ref="L20:M20"/>
    <mergeCell ref="J10:K10"/>
    <mergeCell ref="J13:K13"/>
    <mergeCell ref="J12:K12"/>
    <mergeCell ref="J11:K11"/>
    <mergeCell ref="J19:K19"/>
    <mergeCell ref="J18:K18"/>
    <mergeCell ref="J17:K17"/>
    <mergeCell ref="J16:K16"/>
    <mergeCell ref="J15:K15"/>
    <mergeCell ref="J14:K14"/>
    <mergeCell ref="L13:M13"/>
    <mergeCell ref="L12:M12"/>
    <mergeCell ref="L11:M11"/>
    <mergeCell ref="L10:M10"/>
    <mergeCell ref="F16:G16"/>
    <mergeCell ref="F15:G15"/>
    <mergeCell ref="F14:G14"/>
    <mergeCell ref="F13:G13"/>
    <mergeCell ref="F12:G12"/>
    <mergeCell ref="F11:G11"/>
    <mergeCell ref="F22:G22"/>
    <mergeCell ref="F21:G21"/>
    <mergeCell ref="F20:G20"/>
    <mergeCell ref="F19:G19"/>
    <mergeCell ref="F18:G18"/>
    <mergeCell ref="F17:G17"/>
    <mergeCell ref="A3:M3"/>
    <mergeCell ref="B29:Q29"/>
    <mergeCell ref="M28:O28"/>
    <mergeCell ref="H22:I22"/>
    <mergeCell ref="H21:I21"/>
    <mergeCell ref="B16:E16"/>
    <mergeCell ref="B15:E15"/>
    <mergeCell ref="B14:E14"/>
    <mergeCell ref="B13:E13"/>
    <mergeCell ref="F9:G9"/>
    <mergeCell ref="F10:G10"/>
    <mergeCell ref="J9:K9"/>
    <mergeCell ref="H14:I14"/>
    <mergeCell ref="H13:I13"/>
    <mergeCell ref="H12:I12"/>
    <mergeCell ref="H11:I11"/>
    <mergeCell ref="H10:I10"/>
    <mergeCell ref="H9:I9"/>
    <mergeCell ref="H20:I20"/>
    <mergeCell ref="H19:I19"/>
    <mergeCell ref="H18:I18"/>
    <mergeCell ref="H17:I17"/>
    <mergeCell ref="H16:I16"/>
    <mergeCell ref="H15:I15"/>
  </mergeCells>
  <pageMargins left="0.5" right="0.5" top="0.5" bottom="0.25" header="0.5" footer="0.25"/>
  <pageSetup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9"/>
  <sheetViews>
    <sheetView workbookViewId="0">
      <selection activeCell="C4" sqref="C4"/>
    </sheetView>
  </sheetViews>
  <sheetFormatPr defaultRowHeight="12.75" x14ac:dyDescent="0.2"/>
  <cols>
    <col min="1" max="1" width="9.5703125" customWidth="1"/>
  </cols>
  <sheetData>
    <row r="1" spans="1:1" s="453" customFormat="1" x14ac:dyDescent="0.2">
      <c r="A1" s="127">
        <v>42831</v>
      </c>
    </row>
    <row r="2" spans="1:1" s="453" customFormat="1" x14ac:dyDescent="0.2">
      <c r="A2" s="453" t="s">
        <v>503</v>
      </c>
    </row>
    <row r="3" spans="1:1" s="453" customFormat="1" x14ac:dyDescent="0.2"/>
    <row r="4" spans="1:1" s="452" customFormat="1" x14ac:dyDescent="0.2">
      <c r="A4" s="127">
        <v>42767</v>
      </c>
    </row>
    <row r="5" spans="1:1" s="452" customFormat="1" x14ac:dyDescent="0.2">
      <c r="A5" s="253" t="s">
        <v>502</v>
      </c>
    </row>
    <row r="6" spans="1:1" s="452" customFormat="1" x14ac:dyDescent="0.2"/>
    <row r="7" spans="1:1" s="451" customFormat="1" x14ac:dyDescent="0.2">
      <c r="A7" s="127">
        <v>42425</v>
      </c>
    </row>
    <row r="8" spans="1:1" s="451" customFormat="1" x14ac:dyDescent="0.2">
      <c r="A8" s="451" t="s">
        <v>500</v>
      </c>
    </row>
    <row r="9" spans="1:1" s="451" customFormat="1" x14ac:dyDescent="0.2">
      <c r="A9" s="451" t="s">
        <v>501</v>
      </c>
    </row>
    <row r="10" spans="1:1" s="451" customFormat="1" x14ac:dyDescent="0.2"/>
    <row r="11" spans="1:1" s="450" customFormat="1" x14ac:dyDescent="0.2">
      <c r="A11" s="127">
        <v>42375</v>
      </c>
    </row>
    <row r="12" spans="1:1" s="450" customFormat="1" x14ac:dyDescent="0.2">
      <c r="A12" s="450" t="s">
        <v>499</v>
      </c>
    </row>
    <row r="13" spans="1:1" s="450" customFormat="1" x14ac:dyDescent="0.2"/>
    <row r="14" spans="1:1" s="449" customFormat="1" x14ac:dyDescent="0.2">
      <c r="A14" s="127">
        <v>42193</v>
      </c>
    </row>
    <row r="15" spans="1:1" s="449" customFormat="1" x14ac:dyDescent="0.2">
      <c r="A15" s="449" t="s">
        <v>497</v>
      </c>
    </row>
    <row r="16" spans="1:1" s="449" customFormat="1" x14ac:dyDescent="0.2"/>
    <row r="17" spans="1:1" s="447" customFormat="1" x14ac:dyDescent="0.2">
      <c r="A17" s="127">
        <v>42192</v>
      </c>
    </row>
    <row r="18" spans="1:1" s="447" customFormat="1" x14ac:dyDescent="0.2">
      <c r="A18" s="447" t="s">
        <v>493</v>
      </c>
    </row>
    <row r="19" spans="1:1" s="447" customFormat="1" x14ac:dyDescent="0.2"/>
    <row r="20" spans="1:1" s="446" customFormat="1" x14ac:dyDescent="0.2">
      <c r="A20" s="127">
        <v>42094</v>
      </c>
    </row>
    <row r="21" spans="1:1" s="446" customFormat="1" x14ac:dyDescent="0.2">
      <c r="A21" s="446" t="s">
        <v>492</v>
      </c>
    </row>
    <row r="22" spans="1:1" s="446" customFormat="1" x14ac:dyDescent="0.2">
      <c r="A22" s="446" t="s">
        <v>491</v>
      </c>
    </row>
    <row r="23" spans="1:1" s="446" customFormat="1" x14ac:dyDescent="0.2"/>
    <row r="24" spans="1:1" s="438" customFormat="1" x14ac:dyDescent="0.2">
      <c r="A24" s="127">
        <v>42047</v>
      </c>
    </row>
    <row r="25" spans="1:1" s="438" customFormat="1" x14ac:dyDescent="0.2">
      <c r="A25" s="438" t="s">
        <v>490</v>
      </c>
    </row>
    <row r="26" spans="1:1" s="438" customFormat="1" x14ac:dyDescent="0.2"/>
    <row r="27" spans="1:1" s="437" customFormat="1" x14ac:dyDescent="0.2">
      <c r="A27" s="127">
        <v>42037</v>
      </c>
    </row>
    <row r="28" spans="1:1" s="437" customFormat="1" x14ac:dyDescent="0.2">
      <c r="A28" s="437" t="s">
        <v>489</v>
      </c>
    </row>
    <row r="29" spans="1:1" s="437" customFormat="1" x14ac:dyDescent="0.2"/>
    <row r="30" spans="1:1" s="430" customFormat="1" x14ac:dyDescent="0.2">
      <c r="A30" s="127">
        <v>42034</v>
      </c>
    </row>
    <row r="31" spans="1:1" s="430" customFormat="1" x14ac:dyDescent="0.2">
      <c r="A31" s="430" t="s">
        <v>487</v>
      </c>
    </row>
    <row r="32" spans="1:1" s="430" customFormat="1" x14ac:dyDescent="0.2">
      <c r="A32" s="430" t="s">
        <v>488</v>
      </c>
    </row>
    <row r="33" spans="1:1" s="430" customFormat="1" x14ac:dyDescent="0.2"/>
    <row r="34" spans="1:1" s="256" customFormat="1" x14ac:dyDescent="0.2">
      <c r="A34" s="127">
        <v>41681</v>
      </c>
    </row>
    <row r="35" spans="1:1" s="256" customFormat="1" x14ac:dyDescent="0.2">
      <c r="A35" s="253" t="s">
        <v>410</v>
      </c>
    </row>
    <row r="36" spans="1:1" s="256" customFormat="1" x14ac:dyDescent="0.2"/>
    <row r="37" spans="1:1" s="255" customFormat="1" x14ac:dyDescent="0.2">
      <c r="A37" s="127">
        <v>41674</v>
      </c>
    </row>
    <row r="38" spans="1:1" s="255" customFormat="1" x14ac:dyDescent="0.2">
      <c r="A38" s="255" t="s">
        <v>408</v>
      </c>
    </row>
    <row r="39" spans="1:1" s="255" customFormat="1" x14ac:dyDescent="0.2">
      <c r="A39" s="255" t="s">
        <v>409</v>
      </c>
    </row>
    <row r="40" spans="1:1" s="255" customFormat="1" x14ac:dyDescent="0.2"/>
    <row r="41" spans="1:1" x14ac:dyDescent="0.2">
      <c r="A41" s="127">
        <v>40645</v>
      </c>
    </row>
    <row r="42" spans="1:1" x14ac:dyDescent="0.2">
      <c r="A42" s="192" t="s">
        <v>400</v>
      </c>
    </row>
    <row r="43" spans="1:1" s="221" customFormat="1" x14ac:dyDescent="0.2">
      <c r="A43" s="192" t="s">
        <v>403</v>
      </c>
    </row>
    <row r="45" spans="1:1" x14ac:dyDescent="0.2">
      <c r="A45" s="127">
        <v>40641</v>
      </c>
    </row>
    <row r="46" spans="1:1" x14ac:dyDescent="0.2">
      <c r="A46" s="192" t="s">
        <v>401</v>
      </c>
    </row>
    <row r="48" spans="1:1" x14ac:dyDescent="0.2">
      <c r="A48" s="127">
        <v>40632</v>
      </c>
    </row>
    <row r="49" spans="1:1" x14ac:dyDescent="0.2">
      <c r="A49" s="192" t="s">
        <v>402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61"/>
  <sheetViews>
    <sheetView topLeftCell="A13" zoomScaleNormal="100" workbookViewId="0">
      <selection sqref="A1:N1"/>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30.42578125" customWidth="1"/>
    <col min="16" max="16" width="42.42578125" style="264" customWidth="1"/>
    <col min="17" max="30" width="9.140625" style="336"/>
  </cols>
  <sheetData>
    <row r="1" spans="1:27" ht="18" x14ac:dyDescent="0.25">
      <c r="A1" s="561" t="s">
        <v>507</v>
      </c>
      <c r="B1" s="561"/>
      <c r="C1" s="561"/>
      <c r="D1" s="561"/>
      <c r="E1" s="561"/>
      <c r="F1" s="561"/>
      <c r="G1" s="561"/>
      <c r="H1" s="561"/>
      <c r="I1" s="561"/>
      <c r="J1" s="561"/>
      <c r="K1" s="561"/>
      <c r="L1" s="561"/>
      <c r="M1" s="561"/>
      <c r="N1" s="561"/>
    </row>
    <row r="2" spans="1:27" x14ac:dyDescent="0.2">
      <c r="A2" s="1"/>
      <c r="B2" s="1"/>
      <c r="C2" s="1"/>
      <c r="D2" s="1"/>
      <c r="E2" s="1"/>
      <c r="F2" s="1"/>
      <c r="G2" s="1"/>
      <c r="H2" s="1"/>
      <c r="I2" s="1"/>
      <c r="J2" s="1"/>
      <c r="K2" s="1"/>
      <c r="L2" s="1"/>
      <c r="M2" s="1"/>
      <c r="N2" s="1"/>
    </row>
    <row r="3" spans="1:27" ht="18" x14ac:dyDescent="0.25">
      <c r="A3" s="561" t="s">
        <v>76</v>
      </c>
      <c r="B3" s="561"/>
      <c r="C3" s="561"/>
      <c r="D3" s="561"/>
      <c r="E3" s="561"/>
      <c r="F3" s="561"/>
      <c r="G3" s="561"/>
      <c r="H3" s="561"/>
      <c r="I3" s="561"/>
      <c r="J3" s="561"/>
      <c r="K3" s="561"/>
      <c r="L3" s="561"/>
      <c r="M3" s="561"/>
      <c r="N3" s="561"/>
    </row>
    <row r="4" spans="1:27" ht="18" x14ac:dyDescent="0.25">
      <c r="A4" s="63"/>
      <c r="B4" s="604"/>
      <c r="C4" s="604"/>
      <c r="D4" s="604"/>
      <c r="E4" s="604"/>
      <c r="F4" s="604"/>
      <c r="G4" s="604"/>
      <c r="H4" s="604"/>
      <c r="I4" s="142"/>
      <c r="J4" s="564" t="s">
        <v>123</v>
      </c>
      <c r="K4" s="564"/>
      <c r="L4" s="567"/>
      <c r="M4" s="568"/>
      <c r="N4" s="471"/>
      <c r="O4" s="333" t="s">
        <v>449</v>
      </c>
      <c r="P4" s="5"/>
    </row>
    <row r="5" spans="1:27" ht="13.5" thickBot="1" x14ac:dyDescent="0.25">
      <c r="A5" s="2"/>
      <c r="B5" s="562" t="s">
        <v>5</v>
      </c>
      <c r="C5" s="562"/>
      <c r="D5" s="64">
        <v>0.03</v>
      </c>
      <c r="E5" s="67" t="s">
        <v>103</v>
      </c>
      <c r="F5" s="2"/>
      <c r="G5" s="73" t="s">
        <v>104</v>
      </c>
      <c r="H5" s="141">
        <v>44713</v>
      </c>
      <c r="I5" s="76"/>
      <c r="J5" s="140">
        <v>2</v>
      </c>
      <c r="K5" s="5" t="s">
        <v>124</v>
      </c>
      <c r="L5" s="565" t="s">
        <v>109</v>
      </c>
      <c r="M5" s="566"/>
      <c r="N5" s="470" t="s">
        <v>241</v>
      </c>
      <c r="O5" s="334">
        <v>0</v>
      </c>
      <c r="P5" s="318"/>
    </row>
    <row r="6" spans="1:27" ht="26.25" thickBot="1" x14ac:dyDescent="0.25">
      <c r="A6" s="2"/>
      <c r="B6" s="3" t="s">
        <v>0</v>
      </c>
      <c r="C6" s="3" t="s">
        <v>1</v>
      </c>
      <c r="D6" s="3" t="s">
        <v>2</v>
      </c>
      <c r="E6" s="3" t="s">
        <v>3</v>
      </c>
      <c r="F6" s="3" t="s">
        <v>4</v>
      </c>
      <c r="G6" s="3" t="s">
        <v>42</v>
      </c>
      <c r="H6" s="3" t="s">
        <v>43</v>
      </c>
      <c r="I6" s="4" t="s">
        <v>60</v>
      </c>
      <c r="J6" s="77" t="s">
        <v>61</v>
      </c>
      <c r="K6" s="3" t="s">
        <v>62</v>
      </c>
      <c r="L6" s="4" t="s">
        <v>44</v>
      </c>
      <c r="M6" s="3" t="s">
        <v>45</v>
      </c>
      <c r="N6" s="3" t="s">
        <v>41</v>
      </c>
      <c r="O6" s="594" t="s">
        <v>253</v>
      </c>
      <c r="P6" s="594"/>
      <c r="Q6" s="335" t="s">
        <v>66</v>
      </c>
      <c r="R6" s="335" t="s">
        <v>67</v>
      </c>
      <c r="S6" s="335" t="s">
        <v>68</v>
      </c>
      <c r="U6" s="335" t="s">
        <v>66</v>
      </c>
      <c r="V6" s="335" t="s">
        <v>67</v>
      </c>
      <c r="W6" s="335" t="s">
        <v>68</v>
      </c>
      <c r="Y6" s="336" t="s">
        <v>464</v>
      </c>
      <c r="Z6" s="336" t="s">
        <v>465</v>
      </c>
    </row>
    <row r="7" spans="1:27" x14ac:dyDescent="0.2">
      <c r="A7" s="5">
        <v>1</v>
      </c>
      <c r="B7" s="28"/>
      <c r="C7" s="326"/>
      <c r="D7" s="17" t="s">
        <v>462</v>
      </c>
      <c r="E7" s="326"/>
      <c r="F7" s="17"/>
      <c r="G7" s="17"/>
      <c r="H7" s="66"/>
      <c r="I7" s="17"/>
      <c r="J7" s="17"/>
      <c r="K7" s="17"/>
      <c r="L7" s="343" t="str">
        <f>IF(NOT(OR(ISBLANK(H7),H7="")), IF(OR(AND(ISBLANK(I7),ISBLANK(J7),ISBLANK(K7)),AND(I7="",J7="",K7="")),0, IF((AND((I7&gt;0),((J7+K7)&gt;0))),"Error", IF((I7&gt;0),ROUND(((H7*I7)/12),2),ROUND((H7*(J7+K7))/8.5,2)))),"")</f>
        <v/>
      </c>
      <c r="M7" s="45" t="str">
        <f>IF(ISBLANK(H7),"",ROUND(SUM(U7:W7),2))</f>
        <v/>
      </c>
      <c r="N7" s="319" t="str">
        <f>IF(ISBLANK(H7),"",ROUND(SUM(L7:M7),2))</f>
        <v/>
      </c>
      <c r="O7" s="595"/>
      <c r="P7" s="596"/>
      <c r="Q7" s="336">
        <f t="shared" ref="Q7:Q14" si="0">(H7/12)*I7</f>
        <v>0</v>
      </c>
      <c r="R7" s="337">
        <f>(H7/8.5)*J7</f>
        <v>0</v>
      </c>
      <c r="S7" s="336">
        <f>(H7/8.5)*K7</f>
        <v>0</v>
      </c>
      <c r="U7" s="336">
        <f t="shared" ref="U7:U14" si="1">Q7*LOOKUP("Full",Ben,Per)</f>
        <v>0</v>
      </c>
      <c r="V7" s="336">
        <f t="shared" ref="V7:V14" si="2">R7*LOOKUP("Full",Ben,Per)</f>
        <v>0</v>
      </c>
      <c r="W7" s="336">
        <f t="shared" ref="W7:W14" si="3">S7*LOOKUP("Summer",Ben,Per)</f>
        <v>0</v>
      </c>
      <c r="X7" s="336" t="s">
        <v>467</v>
      </c>
      <c r="Y7" s="336" t="b">
        <f t="shared" ref="Y7:Y14" si="4">IF(OR($N$5&lt;&gt;"Federal - NIH",OR(AND(ISBLANK(I7),ISBLANK(J7),ISBLANK(K7)),AND(I7="",J7="",K7=""))),FALSE,IF(I7&gt;0,H7&gt;NIHSalaryCap,H7&gt;(NIHSalaryCap*8.5)/12))</f>
        <v>0</v>
      </c>
      <c r="Z7" s="336" t="b">
        <f t="shared" ref="Z7:Z14" si="5">IF(AND($N$5="Federal - NIH",OR(NOT(ISBLANK(I7)),NOT(ISBLANK(J7)),NOT(ISBLANK(K7)),I7&lt;&gt;"",J7&lt;&gt;"",K7&lt;&gt;"")),IF(I7&gt;0,H7&lt;=NIHSalaryCap,H7&lt;=(NIHSalaryCap*8.5)/12),TRUE)</f>
        <v>1</v>
      </c>
      <c r="AA7" s="336" t="s">
        <v>498</v>
      </c>
    </row>
    <row r="8" spans="1:27" x14ac:dyDescent="0.2">
      <c r="A8" s="5">
        <v>2</v>
      </c>
      <c r="B8" s="6"/>
      <c r="C8" s="454"/>
      <c r="D8" s="22"/>
      <c r="E8" s="22"/>
      <c r="F8" s="22"/>
      <c r="G8" s="70"/>
      <c r="H8" s="42"/>
      <c r="I8" s="21"/>
      <c r="J8" s="21"/>
      <c r="K8" s="21"/>
      <c r="L8" s="344" t="str">
        <f t="shared" ref="L8:L14" si="6">IF(NOT(OR(ISBLANK(H8),H8="")), IF(OR(AND(ISBLANK(I8),ISBLANK(J8),ISBLANK(K8)),AND(I8="",J8="",K8="")),0, IF((AND((I8&gt;0),((J8+K8)&gt;0))),"Error", IF((I8&gt;0),ROUND(((H8*I8)/12),2),ROUND((H8*(J8+K8))/8.5,2)))),"")</f>
        <v/>
      </c>
      <c r="M8" s="44" t="str">
        <f t="shared" ref="M8:M14" si="7">IF(ISBLANK(H8),"",ROUND(SUM(U8:W8),2))</f>
        <v/>
      </c>
      <c r="N8" s="273" t="str">
        <f t="shared" ref="N8:N14" si="8">IF(ISBLANK(H8),"",ROUND(SUM(L8:M8),2))</f>
        <v/>
      </c>
      <c r="O8" s="592"/>
      <c r="P8" s="593"/>
      <c r="Q8" s="336">
        <f t="shared" si="0"/>
        <v>0</v>
      </c>
      <c r="R8" s="337">
        <f t="shared" ref="R8:R14" si="9">(H8/8.5)*J8</f>
        <v>0</v>
      </c>
      <c r="S8" s="336">
        <f t="shared" ref="S8:S14" si="10">(H8/8.5)*K8</f>
        <v>0</v>
      </c>
      <c r="U8" s="336">
        <f t="shared" si="1"/>
        <v>0</v>
      </c>
      <c r="V8" s="336">
        <f t="shared" si="2"/>
        <v>0</v>
      </c>
      <c r="W8" s="336">
        <f t="shared" si="3"/>
        <v>0</v>
      </c>
      <c r="X8" s="336" t="s">
        <v>467</v>
      </c>
      <c r="Y8" s="336" t="b">
        <f t="shared" si="4"/>
        <v>0</v>
      </c>
      <c r="Z8" s="336" t="b">
        <f t="shared" si="5"/>
        <v>1</v>
      </c>
      <c r="AA8" s="336" t="s">
        <v>498</v>
      </c>
    </row>
    <row r="9" spans="1:27" x14ac:dyDescent="0.2">
      <c r="A9" s="5">
        <v>3</v>
      </c>
      <c r="B9" s="6"/>
      <c r="C9" s="22"/>
      <c r="D9" s="22"/>
      <c r="E9" s="22"/>
      <c r="F9" s="22"/>
      <c r="G9" s="22"/>
      <c r="H9" s="42"/>
      <c r="I9" s="21"/>
      <c r="J9" s="21"/>
      <c r="K9" s="21"/>
      <c r="L9" s="344" t="str">
        <f t="shared" si="6"/>
        <v/>
      </c>
      <c r="M9" s="44" t="str">
        <f t="shared" si="7"/>
        <v/>
      </c>
      <c r="N9" s="273" t="str">
        <f t="shared" si="8"/>
        <v/>
      </c>
      <c r="O9" s="592"/>
      <c r="P9" s="593"/>
      <c r="Q9" s="336">
        <f t="shared" si="0"/>
        <v>0</v>
      </c>
      <c r="R9" s="337">
        <f t="shared" si="9"/>
        <v>0</v>
      </c>
      <c r="S9" s="336">
        <f t="shared" si="10"/>
        <v>0</v>
      </c>
      <c r="U9" s="336">
        <f t="shared" si="1"/>
        <v>0</v>
      </c>
      <c r="V9" s="336">
        <f t="shared" si="2"/>
        <v>0</v>
      </c>
      <c r="W9" s="336">
        <f t="shared" si="3"/>
        <v>0</v>
      </c>
      <c r="X9" s="336" t="s">
        <v>467</v>
      </c>
      <c r="Y9" s="336" t="b">
        <f t="shared" si="4"/>
        <v>0</v>
      </c>
      <c r="Z9" s="336" t="b">
        <f t="shared" si="5"/>
        <v>1</v>
      </c>
      <c r="AA9" s="336" t="s">
        <v>498</v>
      </c>
    </row>
    <row r="10" spans="1:27" x14ac:dyDescent="0.2">
      <c r="A10" s="5">
        <v>4</v>
      </c>
      <c r="B10" s="6"/>
      <c r="C10" s="22"/>
      <c r="D10" s="22"/>
      <c r="E10" s="22"/>
      <c r="F10" s="22"/>
      <c r="G10" s="70"/>
      <c r="H10" s="42"/>
      <c r="I10" s="21"/>
      <c r="J10" s="21"/>
      <c r="K10" s="21"/>
      <c r="L10" s="344" t="str">
        <f t="shared" si="6"/>
        <v/>
      </c>
      <c r="M10" s="44" t="str">
        <f t="shared" si="7"/>
        <v/>
      </c>
      <c r="N10" s="273" t="str">
        <f t="shared" si="8"/>
        <v/>
      </c>
      <c r="O10" s="592"/>
      <c r="P10" s="593"/>
      <c r="Q10" s="336">
        <f t="shared" si="0"/>
        <v>0</v>
      </c>
      <c r="R10" s="337">
        <f t="shared" si="9"/>
        <v>0</v>
      </c>
      <c r="S10" s="336">
        <f t="shared" si="10"/>
        <v>0</v>
      </c>
      <c r="U10" s="336">
        <f t="shared" si="1"/>
        <v>0</v>
      </c>
      <c r="V10" s="336">
        <f t="shared" si="2"/>
        <v>0</v>
      </c>
      <c r="W10" s="336">
        <f t="shared" si="3"/>
        <v>0</v>
      </c>
      <c r="X10" s="336" t="s">
        <v>467</v>
      </c>
      <c r="Y10" s="336" t="b">
        <f t="shared" si="4"/>
        <v>0</v>
      </c>
      <c r="Z10" s="336" t="b">
        <f t="shared" si="5"/>
        <v>1</v>
      </c>
      <c r="AA10" s="336" t="s">
        <v>498</v>
      </c>
    </row>
    <row r="11" spans="1:27" x14ac:dyDescent="0.2">
      <c r="A11" s="5">
        <v>5</v>
      </c>
      <c r="B11" s="6"/>
      <c r="C11" s="22"/>
      <c r="D11" s="22"/>
      <c r="E11" s="22"/>
      <c r="F11" s="22"/>
      <c r="G11" s="71"/>
      <c r="H11" s="42"/>
      <c r="I11" s="21"/>
      <c r="J11" s="21"/>
      <c r="K11" s="21"/>
      <c r="L11" s="344" t="str">
        <f t="shared" si="6"/>
        <v/>
      </c>
      <c r="M11" s="44" t="str">
        <f t="shared" si="7"/>
        <v/>
      </c>
      <c r="N11" s="273" t="str">
        <f t="shared" si="8"/>
        <v/>
      </c>
      <c r="O11" s="592"/>
      <c r="P11" s="593"/>
      <c r="Q11" s="336">
        <f t="shared" si="0"/>
        <v>0</v>
      </c>
      <c r="R11" s="337">
        <f t="shared" si="9"/>
        <v>0</v>
      </c>
      <c r="S11" s="336">
        <f t="shared" si="10"/>
        <v>0</v>
      </c>
      <c r="U11" s="336">
        <f t="shared" si="1"/>
        <v>0</v>
      </c>
      <c r="V11" s="336">
        <f t="shared" si="2"/>
        <v>0</v>
      </c>
      <c r="W11" s="336">
        <f t="shared" si="3"/>
        <v>0</v>
      </c>
      <c r="X11" s="336" t="s">
        <v>467</v>
      </c>
      <c r="Y11" s="336" t="b">
        <f t="shared" si="4"/>
        <v>0</v>
      </c>
      <c r="Z11" s="336" t="b">
        <f t="shared" si="5"/>
        <v>1</v>
      </c>
      <c r="AA11" s="336" t="s">
        <v>498</v>
      </c>
    </row>
    <row r="12" spans="1:27" x14ac:dyDescent="0.2">
      <c r="A12" s="5">
        <v>6</v>
      </c>
      <c r="B12" s="6"/>
      <c r="C12" s="22"/>
      <c r="D12" s="22"/>
      <c r="E12" s="22"/>
      <c r="F12" s="22"/>
      <c r="G12" s="22"/>
      <c r="H12" s="42"/>
      <c r="I12" s="21"/>
      <c r="J12" s="21"/>
      <c r="K12" s="21"/>
      <c r="L12" s="344" t="str">
        <f t="shared" si="6"/>
        <v/>
      </c>
      <c r="M12" s="44" t="str">
        <f t="shared" si="7"/>
        <v/>
      </c>
      <c r="N12" s="273" t="str">
        <f t="shared" si="8"/>
        <v/>
      </c>
      <c r="O12" s="592"/>
      <c r="P12" s="593"/>
      <c r="Q12" s="336">
        <f t="shared" si="0"/>
        <v>0</v>
      </c>
      <c r="R12" s="337">
        <f t="shared" si="9"/>
        <v>0</v>
      </c>
      <c r="S12" s="336">
        <f t="shared" si="10"/>
        <v>0</v>
      </c>
      <c r="U12" s="336">
        <f t="shared" si="1"/>
        <v>0</v>
      </c>
      <c r="V12" s="336">
        <f t="shared" si="2"/>
        <v>0</v>
      </c>
      <c r="W12" s="336">
        <f t="shared" si="3"/>
        <v>0</v>
      </c>
      <c r="X12" s="336" t="s">
        <v>467</v>
      </c>
      <c r="Y12" s="336" t="b">
        <f t="shared" si="4"/>
        <v>0</v>
      </c>
      <c r="Z12" s="336" t="b">
        <f t="shared" si="5"/>
        <v>1</v>
      </c>
      <c r="AA12" s="336" t="s">
        <v>498</v>
      </c>
    </row>
    <row r="13" spans="1:27" x14ac:dyDescent="0.2">
      <c r="A13" s="5">
        <v>7</v>
      </c>
      <c r="B13" s="6"/>
      <c r="C13" s="22"/>
      <c r="D13" s="22"/>
      <c r="E13" s="22"/>
      <c r="F13" s="22"/>
      <c r="G13" s="22"/>
      <c r="H13" s="42"/>
      <c r="I13" s="21"/>
      <c r="J13" s="21"/>
      <c r="K13" s="21"/>
      <c r="L13" s="344" t="str">
        <f t="shared" si="6"/>
        <v/>
      </c>
      <c r="M13" s="44" t="str">
        <f t="shared" si="7"/>
        <v/>
      </c>
      <c r="N13" s="273" t="str">
        <f t="shared" si="8"/>
        <v/>
      </c>
      <c r="O13" s="592"/>
      <c r="P13" s="593"/>
      <c r="Q13" s="336">
        <f t="shared" si="0"/>
        <v>0</v>
      </c>
      <c r="R13" s="337">
        <f t="shared" si="9"/>
        <v>0</v>
      </c>
      <c r="S13" s="336">
        <f t="shared" si="10"/>
        <v>0</v>
      </c>
      <c r="U13" s="336">
        <f t="shared" si="1"/>
        <v>0</v>
      </c>
      <c r="V13" s="336">
        <f t="shared" si="2"/>
        <v>0</v>
      </c>
      <c r="W13" s="336">
        <f t="shared" si="3"/>
        <v>0</v>
      </c>
      <c r="X13" s="336" t="s">
        <v>467</v>
      </c>
      <c r="Y13" s="336" t="b">
        <f t="shared" si="4"/>
        <v>0</v>
      </c>
      <c r="Z13" s="336" t="b">
        <f t="shared" si="5"/>
        <v>1</v>
      </c>
      <c r="AA13" s="336" t="s">
        <v>498</v>
      </c>
    </row>
    <row r="14" spans="1:27" ht="13.5" thickBot="1" x14ac:dyDescent="0.25">
      <c r="A14" s="5">
        <v>8</v>
      </c>
      <c r="B14" s="7"/>
      <c r="C14" s="29"/>
      <c r="D14" s="29"/>
      <c r="E14" s="29"/>
      <c r="F14" s="29"/>
      <c r="G14" s="69"/>
      <c r="H14" s="42"/>
      <c r="I14" s="30"/>
      <c r="J14" s="30"/>
      <c r="K14" s="21"/>
      <c r="L14" s="345" t="str">
        <f t="shared" si="6"/>
        <v/>
      </c>
      <c r="M14" s="49" t="str">
        <f t="shared" si="7"/>
        <v/>
      </c>
      <c r="N14" s="322" t="str">
        <f t="shared" si="8"/>
        <v/>
      </c>
      <c r="O14" s="592"/>
      <c r="P14" s="593"/>
      <c r="Q14" s="336">
        <f t="shared" si="0"/>
        <v>0</v>
      </c>
      <c r="R14" s="337">
        <f t="shared" si="9"/>
        <v>0</v>
      </c>
      <c r="S14" s="336">
        <f t="shared" si="10"/>
        <v>0</v>
      </c>
      <c r="U14" s="336">
        <f t="shared" si="1"/>
        <v>0</v>
      </c>
      <c r="V14" s="336">
        <f t="shared" si="2"/>
        <v>0</v>
      </c>
      <c r="W14" s="336">
        <f t="shared" si="3"/>
        <v>0</v>
      </c>
      <c r="X14" s="336" t="s">
        <v>467</v>
      </c>
      <c r="Y14" s="336" t="b">
        <f t="shared" si="4"/>
        <v>0</v>
      </c>
      <c r="Z14" s="336" t="b">
        <f t="shared" si="5"/>
        <v>1</v>
      </c>
      <c r="AA14" s="336" t="s">
        <v>498</v>
      </c>
    </row>
    <row r="15" spans="1:27" ht="13.5" thickBot="1" x14ac:dyDescent="0.25">
      <c r="A15" s="5">
        <v>9</v>
      </c>
      <c r="B15" s="27">
        <f>COUNTIF(E44:E58,"*")</f>
        <v>0</v>
      </c>
      <c r="C15" s="563" t="s">
        <v>52</v>
      </c>
      <c r="D15" s="563"/>
      <c r="E15" s="563"/>
      <c r="F15" s="563"/>
      <c r="G15" s="573" t="s">
        <v>63</v>
      </c>
      <c r="H15" s="573"/>
      <c r="I15" s="573"/>
      <c r="J15" s="573"/>
      <c r="K15" s="573"/>
      <c r="L15" s="573"/>
      <c r="M15" s="574"/>
      <c r="N15" s="321">
        <f>SUM(N44:N58)</f>
        <v>0</v>
      </c>
      <c r="O15" s="602"/>
      <c r="P15" s="603"/>
      <c r="Q15" s="336">
        <f>SUM(Q7:Q14)</f>
        <v>0</v>
      </c>
      <c r="R15" s="336">
        <f>SUM(R7:R14)</f>
        <v>0</v>
      </c>
      <c r="S15" s="336">
        <f>SUM(S7:S14)</f>
        <v>0</v>
      </c>
      <c r="U15" s="336">
        <f>SUM(U7:U14)</f>
        <v>0</v>
      </c>
      <c r="V15" s="336">
        <f>SUM(V7:V14)</f>
        <v>0</v>
      </c>
      <c r="W15" s="336">
        <f>SUM(W7:W14)</f>
        <v>0</v>
      </c>
    </row>
    <row r="16" spans="1:27" ht="13.5" thickBot="1" x14ac:dyDescent="0.25">
      <c r="B16" s="27">
        <f>SUM(COUNTIF(E7:E14,"*"),B15)</f>
        <v>0</v>
      </c>
      <c r="C16" s="569" t="s">
        <v>51</v>
      </c>
      <c r="D16" s="570"/>
      <c r="E16" s="570"/>
      <c r="F16" s="570"/>
      <c r="G16" s="9"/>
      <c r="H16" s="10"/>
      <c r="I16" s="10"/>
      <c r="J16" s="571" t="s">
        <v>34</v>
      </c>
      <c r="K16" s="571"/>
      <c r="L16" s="571"/>
      <c r="M16" s="572"/>
      <c r="N16" s="323">
        <f>SUM(N7:N15)</f>
        <v>0</v>
      </c>
      <c r="O16" s="600"/>
      <c r="P16" s="601"/>
    </row>
    <row r="17" spans="2:30" x14ac:dyDescent="0.2">
      <c r="B17" s="9"/>
      <c r="C17" s="9"/>
      <c r="D17" s="9"/>
      <c r="E17" s="9"/>
      <c r="F17" s="9"/>
      <c r="G17" s="9"/>
      <c r="H17" s="10"/>
      <c r="I17" s="10"/>
      <c r="J17" s="11"/>
      <c r="K17" s="11"/>
      <c r="L17" s="11"/>
      <c r="M17" s="11"/>
      <c r="N17" s="10"/>
    </row>
    <row r="18" spans="2:30" x14ac:dyDescent="0.2">
      <c r="B18" s="9"/>
      <c r="C18" s="9"/>
      <c r="D18" s="9"/>
      <c r="E18" s="9"/>
      <c r="F18" s="9"/>
      <c r="G18" s="9"/>
      <c r="H18" s="9"/>
      <c r="I18" s="9"/>
      <c r="J18" s="11"/>
      <c r="K18" s="11"/>
      <c r="L18" s="11"/>
      <c r="M18" s="11"/>
      <c r="N18" s="9"/>
    </row>
    <row r="19" spans="2:30" x14ac:dyDescent="0.2">
      <c r="B19" s="575" t="s">
        <v>6</v>
      </c>
      <c r="C19" s="575"/>
      <c r="D19" s="576" t="s">
        <v>96</v>
      </c>
      <c r="E19" s="576"/>
      <c r="F19" s="576"/>
      <c r="G19" s="576"/>
      <c r="H19" s="576"/>
      <c r="I19" s="576"/>
      <c r="J19" s="576"/>
      <c r="K19" s="576"/>
    </row>
    <row r="20" spans="2:30" ht="26.25" thickBot="1" x14ac:dyDescent="0.25">
      <c r="B20" s="13" t="s">
        <v>7</v>
      </c>
      <c r="C20" s="14"/>
      <c r="D20" s="14"/>
      <c r="E20" s="14"/>
      <c r="F20" s="14"/>
      <c r="G20" s="14"/>
      <c r="H20" s="468" t="s">
        <v>65</v>
      </c>
      <c r="I20" s="15" t="s">
        <v>60</v>
      </c>
      <c r="J20" s="15" t="s">
        <v>61</v>
      </c>
      <c r="K20" s="15" t="s">
        <v>62</v>
      </c>
      <c r="L20" s="15" t="s">
        <v>44</v>
      </c>
      <c r="M20" s="40" t="s">
        <v>45</v>
      </c>
      <c r="N20" s="40" t="s">
        <v>41</v>
      </c>
      <c r="O20" s="594" t="s">
        <v>253</v>
      </c>
      <c r="P20" s="594"/>
    </row>
    <row r="21" spans="2:30" x14ac:dyDescent="0.2">
      <c r="B21" s="261"/>
      <c r="C21" s="577" t="s">
        <v>8</v>
      </c>
      <c r="D21" s="578"/>
      <c r="E21" s="578"/>
      <c r="F21" s="578"/>
      <c r="G21" s="578"/>
      <c r="H21" s="579"/>
      <c r="I21" s="17"/>
      <c r="J21" s="17"/>
      <c r="K21" s="17"/>
      <c r="L21" s="41"/>
      <c r="M21" s="45" t="str">
        <f>IF(ISBLANK(L21),"",ROUND(L21*LOOKUP("Full",Ben,Per),2))</f>
        <v/>
      </c>
      <c r="N21" s="319" t="str">
        <f t="shared" ref="N21:N26" si="11">IF(ISBLANK(L21),"",ROUND(SUM(L21:M21),2))</f>
        <v/>
      </c>
      <c r="O21" s="607"/>
      <c r="P21" s="608"/>
    </row>
    <row r="22" spans="2:30" x14ac:dyDescent="0.2">
      <c r="B22" s="262"/>
      <c r="C22" s="580" t="s">
        <v>73</v>
      </c>
      <c r="D22" s="581"/>
      <c r="E22" s="581"/>
      <c r="F22" s="581"/>
      <c r="G22" s="581"/>
      <c r="H22" s="583"/>
      <c r="I22" s="19"/>
      <c r="J22" s="19"/>
      <c r="K22" s="19"/>
      <c r="L22" s="53"/>
      <c r="M22" s="49" t="str">
        <f>IF(ISBLANK(L22),"",ROUND(L22*LOOKUP("Full",Ben,Per),2))</f>
        <v/>
      </c>
      <c r="N22" s="272" t="str">
        <f t="shared" si="11"/>
        <v/>
      </c>
      <c r="O22" s="605"/>
      <c r="P22" s="606"/>
    </row>
    <row r="23" spans="2:30" x14ac:dyDescent="0.2">
      <c r="B23" s="260"/>
      <c r="C23" s="580" t="s">
        <v>9</v>
      </c>
      <c r="D23" s="581"/>
      <c r="E23" s="581"/>
      <c r="F23" s="581"/>
      <c r="G23" s="429"/>
      <c r="H23" s="469" t="s">
        <v>241</v>
      </c>
      <c r="I23" s="21"/>
      <c r="J23" s="21"/>
      <c r="K23" s="21"/>
      <c r="L23" s="340"/>
      <c r="M23" s="47" t="str">
        <f>IF(ISBLANK(L23),"",ROUND(L23*LOOKUP(H23,Grad,GradR),2))</f>
        <v/>
      </c>
      <c r="N23" s="272" t="str">
        <f t="shared" si="11"/>
        <v/>
      </c>
      <c r="O23" s="605"/>
      <c r="P23" s="606"/>
    </row>
    <row r="24" spans="2:30" x14ac:dyDescent="0.2">
      <c r="B24" s="260"/>
      <c r="C24" s="580" t="s">
        <v>10</v>
      </c>
      <c r="D24" s="581"/>
      <c r="E24" s="581"/>
      <c r="F24" s="581"/>
      <c r="G24" s="581"/>
      <c r="H24" s="582"/>
      <c r="I24" s="22"/>
      <c r="J24" s="22"/>
      <c r="K24" s="22"/>
      <c r="L24" s="54"/>
      <c r="M24" s="47" t="str">
        <f>IF(ISBLANK(L24),"",ROUND(L24*LOOKUP("Temp",Ben,Per),2))</f>
        <v/>
      </c>
      <c r="N24" s="272" t="str">
        <f t="shared" si="11"/>
        <v/>
      </c>
      <c r="O24" s="605"/>
      <c r="P24" s="606"/>
    </row>
    <row r="25" spans="2:30" x14ac:dyDescent="0.2">
      <c r="B25" s="260"/>
      <c r="C25" s="584" t="s">
        <v>504</v>
      </c>
      <c r="D25" s="581"/>
      <c r="E25" s="581"/>
      <c r="F25" s="581"/>
      <c r="G25" s="581"/>
      <c r="H25" s="582"/>
      <c r="I25" s="22"/>
      <c r="J25" s="22"/>
      <c r="K25" s="22"/>
      <c r="L25" s="54"/>
      <c r="M25" s="47" t="str">
        <f>IF(ISBLANK(L25),"",ROUND(L25*LOOKUP("Full",Ben,Per),2))</f>
        <v/>
      </c>
      <c r="N25" s="272" t="str">
        <f t="shared" si="11"/>
        <v/>
      </c>
      <c r="O25" s="605"/>
      <c r="P25" s="606"/>
    </row>
    <row r="26" spans="2:30" x14ac:dyDescent="0.2">
      <c r="B26" s="260"/>
      <c r="C26" s="587" t="s">
        <v>458</v>
      </c>
      <c r="D26" s="588"/>
      <c r="E26" s="588"/>
      <c r="F26" s="588"/>
      <c r="G26" s="588"/>
      <c r="H26" s="588"/>
      <c r="I26" s="22"/>
      <c r="J26" s="22"/>
      <c r="K26" s="22"/>
      <c r="L26" s="54"/>
      <c r="M26" s="44" t="str">
        <f>IF(ISBLANK(L26),"",ROUND(L26*LOOKUP("Temp",Ben,Per),2))</f>
        <v/>
      </c>
      <c r="N26" s="273" t="str">
        <f t="shared" si="11"/>
        <v/>
      </c>
      <c r="O26" s="605"/>
      <c r="P26" s="606"/>
    </row>
    <row r="27" spans="2:30" s="257" customFormat="1" x14ac:dyDescent="0.2">
      <c r="B27" s="20"/>
      <c r="C27" s="589" t="s">
        <v>421</v>
      </c>
      <c r="D27" s="588"/>
      <c r="E27" s="588"/>
      <c r="F27" s="588"/>
      <c r="G27" s="588"/>
      <c r="H27" s="588"/>
      <c r="I27" s="22"/>
      <c r="J27" s="22"/>
      <c r="K27" s="22"/>
      <c r="L27" s="54"/>
      <c r="M27" s="44" t="str">
        <f>IF(ISBLANK(L27),"",ROUND(L27*LOOKUP("Temp",Ben,Per),2))</f>
        <v/>
      </c>
      <c r="N27" s="273" t="str">
        <f>IF(ISBLANK(L27),"",ROUND(SUM(L27:M27),2))</f>
        <v/>
      </c>
      <c r="O27" s="605"/>
      <c r="P27" s="606"/>
      <c r="Q27" s="336"/>
      <c r="R27" s="336"/>
      <c r="S27" s="336"/>
      <c r="T27" s="336"/>
      <c r="U27" s="336"/>
      <c r="V27" s="336"/>
      <c r="W27" s="336"/>
      <c r="X27" s="336"/>
      <c r="Y27" s="336"/>
      <c r="Z27" s="336"/>
      <c r="AA27" s="336"/>
      <c r="AB27" s="336"/>
      <c r="AC27" s="336"/>
      <c r="AD27" s="336"/>
    </row>
    <row r="28" spans="2:30" s="257" customFormat="1" ht="13.5" thickBot="1" x14ac:dyDescent="0.25">
      <c r="B28" s="164"/>
      <c r="C28" s="590" t="s">
        <v>422</v>
      </c>
      <c r="D28" s="591"/>
      <c r="E28" s="591"/>
      <c r="F28" s="591"/>
      <c r="G28" s="591"/>
      <c r="H28" s="591"/>
      <c r="I28" s="29"/>
      <c r="J28" s="29"/>
      <c r="K28" s="29"/>
      <c r="L28" s="55"/>
      <c r="M28" s="52" t="str">
        <f>IF(ISBLANK(L28),"",ROUND(L28*LOOKUP("Adjunct",Ben,Per),2))</f>
        <v/>
      </c>
      <c r="N28" s="274" t="str">
        <f>IF(ISBLANK(L28),"",ROUND(SUM(L28:M28),2))</f>
        <v/>
      </c>
      <c r="O28" s="605"/>
      <c r="P28" s="606"/>
      <c r="Q28" s="336"/>
      <c r="R28" s="336"/>
      <c r="S28" s="336"/>
      <c r="T28" s="336"/>
      <c r="U28" s="336"/>
      <c r="V28" s="336"/>
      <c r="W28" s="336"/>
      <c r="X28" s="336"/>
      <c r="Y28" s="336"/>
      <c r="Z28" s="336"/>
      <c r="AA28" s="336"/>
      <c r="AB28" s="336"/>
      <c r="AC28" s="336"/>
      <c r="AD28" s="336"/>
    </row>
    <row r="29" spans="2:30" ht="13.5" thickBot="1" x14ac:dyDescent="0.25">
      <c r="B29" s="27">
        <f>SUM(B21:B26)</f>
        <v>0</v>
      </c>
      <c r="C29" s="569" t="s">
        <v>11</v>
      </c>
      <c r="D29" s="570"/>
      <c r="E29" s="570"/>
      <c r="F29" s="570"/>
      <c r="G29" s="258"/>
      <c r="H29" s="258"/>
      <c r="I29" s="571" t="s">
        <v>12</v>
      </c>
      <c r="J29" s="585"/>
      <c r="K29" s="585"/>
      <c r="L29" s="585"/>
      <c r="M29" s="586"/>
      <c r="N29" s="324">
        <f>ROUND(SUM(N21:N28),2)</f>
        <v>0</v>
      </c>
      <c r="O29" s="602"/>
      <c r="P29" s="603"/>
    </row>
    <row r="30" spans="2:30" ht="13.5" thickBot="1" x14ac:dyDescent="0.25">
      <c r="B30" s="439"/>
      <c r="C30" s="440"/>
      <c r="D30" s="440"/>
      <c r="E30" s="440"/>
      <c r="F30" s="440"/>
      <c r="G30" s="440"/>
      <c r="H30" s="25"/>
      <c r="I30" s="571" t="s">
        <v>13</v>
      </c>
      <c r="J30" s="571"/>
      <c r="K30" s="571"/>
      <c r="L30" s="571"/>
      <c r="M30" s="572"/>
      <c r="N30" s="323">
        <f>ROUND(SUM(N16,N29),2)</f>
        <v>0</v>
      </c>
      <c r="O30" s="600"/>
      <c r="P30" s="601"/>
    </row>
    <row r="31" spans="2:30" s="264" customFormat="1" hidden="1" x14ac:dyDescent="0.2">
      <c r="B31" s="439"/>
      <c r="C31" s="440"/>
      <c r="D31" s="440"/>
      <c r="E31" s="440"/>
      <c r="F31" s="440"/>
      <c r="G31" s="440"/>
      <c r="H31" s="25"/>
      <c r="I31" s="263"/>
      <c r="J31" s="263"/>
      <c r="K31" s="263"/>
      <c r="L31" s="263"/>
      <c r="M31" s="263"/>
      <c r="N31" s="327"/>
      <c r="O31" s="266"/>
      <c r="P31" s="266"/>
      <c r="Q31" s="336"/>
      <c r="R31" s="336"/>
      <c r="S31" s="336"/>
      <c r="T31" s="336"/>
      <c r="U31" s="336"/>
      <c r="V31" s="336"/>
      <c r="W31" s="336"/>
      <c r="X31" s="336"/>
      <c r="Y31" s="336"/>
      <c r="Z31" s="336"/>
      <c r="AA31" s="336"/>
      <c r="AB31" s="336"/>
      <c r="AC31" s="336"/>
      <c r="AD31" s="336"/>
    </row>
    <row r="32" spans="2:30" s="264" customFormat="1" ht="13.5" hidden="1" thickBot="1" x14ac:dyDescent="0.25">
      <c r="B32" s="439"/>
      <c r="C32" s="440"/>
      <c r="D32" s="440"/>
      <c r="E32" s="440"/>
      <c r="F32" s="440"/>
      <c r="G32" s="440"/>
      <c r="H32" s="25"/>
      <c r="I32" s="263"/>
      <c r="J32" s="263"/>
      <c r="K32" s="263"/>
      <c r="L32" s="263"/>
      <c r="M32" s="263"/>
      <c r="N32" s="327"/>
      <c r="O32" s="266"/>
      <c r="P32" s="266"/>
      <c r="Q32" s="336"/>
      <c r="R32" s="336"/>
      <c r="S32" s="336"/>
      <c r="T32" s="336"/>
      <c r="U32" s="336"/>
      <c r="V32" s="336"/>
      <c r="W32" s="336"/>
      <c r="X32" s="336"/>
      <c r="Y32" s="336"/>
      <c r="Z32" s="336"/>
      <c r="AA32" s="336"/>
      <c r="AB32" s="336"/>
      <c r="AC32" s="336"/>
      <c r="AD32" s="336"/>
    </row>
    <row r="33" spans="1:27" ht="12.75" hidden="1" customHeight="1" x14ac:dyDescent="0.2">
      <c r="B33" s="441"/>
      <c r="C33" s="441"/>
      <c r="D33" s="441"/>
      <c r="E33" s="441"/>
      <c r="F33" s="441"/>
      <c r="G33" s="441"/>
      <c r="H33" s="555" t="s">
        <v>235</v>
      </c>
      <c r="I33" s="556"/>
      <c r="J33" s="556"/>
      <c r="K33" s="556"/>
      <c r="L33" s="557"/>
    </row>
    <row r="34" spans="1:27" ht="12.75" hidden="1" customHeight="1" thickBot="1" x14ac:dyDescent="0.25">
      <c r="B34" s="441"/>
      <c r="C34" s="441"/>
      <c r="D34" s="441"/>
      <c r="E34" s="441"/>
      <c r="F34" s="441"/>
      <c r="G34" s="441"/>
      <c r="H34" s="558"/>
      <c r="I34" s="559"/>
      <c r="J34" s="559"/>
      <c r="K34" s="559"/>
      <c r="L34" s="560"/>
    </row>
    <row r="35" spans="1:27" ht="12.75" hidden="1" customHeight="1" x14ac:dyDescent="0.2">
      <c r="B35" s="441"/>
      <c r="C35" s="441"/>
      <c r="D35" s="441"/>
      <c r="E35" s="441"/>
      <c r="F35" s="441"/>
      <c r="G35" s="441"/>
      <c r="H35" s="546" t="s">
        <v>240</v>
      </c>
      <c r="I35" s="547"/>
      <c r="J35" s="547"/>
      <c r="K35" s="547"/>
      <c r="L35" s="548"/>
      <c r="O35" s="332"/>
      <c r="P35" s="127"/>
    </row>
    <row r="36" spans="1:27" ht="12.75" hidden="1" customHeight="1" x14ac:dyDescent="0.2">
      <c r="B36" s="441"/>
      <c r="C36" s="441"/>
      <c r="D36" s="441"/>
      <c r="E36" s="441"/>
      <c r="F36" s="441"/>
      <c r="G36" s="441"/>
      <c r="H36" s="549"/>
      <c r="I36" s="550"/>
      <c r="J36" s="550"/>
      <c r="K36" s="550"/>
      <c r="L36" s="551"/>
    </row>
    <row r="37" spans="1:27" ht="12.75" hidden="1" customHeight="1" x14ac:dyDescent="0.2">
      <c r="B37" s="441"/>
      <c r="C37" s="441"/>
      <c r="D37" s="441"/>
      <c r="E37" s="441"/>
      <c r="F37" s="441"/>
      <c r="G37" s="441"/>
      <c r="H37" s="549"/>
      <c r="I37" s="550"/>
      <c r="J37" s="550"/>
      <c r="K37" s="550"/>
      <c r="L37" s="551"/>
    </row>
    <row r="38" spans="1:27" ht="12.75" hidden="1" customHeight="1" x14ac:dyDescent="0.2">
      <c r="B38" s="441"/>
      <c r="C38" s="441"/>
      <c r="D38" s="441"/>
      <c r="E38" s="441"/>
      <c r="F38" s="441"/>
      <c r="G38" s="441"/>
      <c r="H38" s="549"/>
      <c r="I38" s="550"/>
      <c r="J38" s="550"/>
      <c r="K38" s="550"/>
      <c r="L38" s="551"/>
    </row>
    <row r="39" spans="1:27" ht="13.5" hidden="1" thickBot="1" x14ac:dyDescent="0.25">
      <c r="B39" s="441"/>
      <c r="C39" s="441"/>
      <c r="D39" s="441"/>
      <c r="E39" s="441"/>
      <c r="F39" s="441"/>
      <c r="G39" s="441"/>
      <c r="H39" s="552"/>
      <c r="I39" s="553"/>
      <c r="J39" s="553"/>
      <c r="K39" s="553"/>
      <c r="L39" s="554"/>
    </row>
    <row r="40" spans="1:27" ht="12.75" hidden="1" customHeight="1" thickBot="1" x14ac:dyDescent="0.25">
      <c r="B40" s="441"/>
      <c r="C40" s="441"/>
      <c r="D40" s="441"/>
      <c r="E40" s="441"/>
      <c r="F40" s="441"/>
      <c r="G40" s="441"/>
      <c r="H40" s="174" t="s">
        <v>236</v>
      </c>
      <c r="I40" s="167"/>
      <c r="J40" s="173" t="s">
        <v>237</v>
      </c>
      <c r="K40" s="173" t="s">
        <v>238</v>
      </c>
      <c r="L40" s="172" t="s">
        <v>239</v>
      </c>
    </row>
    <row r="41" spans="1:27" ht="12.75" hidden="1" customHeight="1" thickBot="1" x14ac:dyDescent="0.25">
      <c r="B41" s="441"/>
      <c r="C41" s="441"/>
      <c r="D41" s="441"/>
      <c r="E41" s="441"/>
      <c r="F41" s="441"/>
      <c r="G41" s="441"/>
      <c r="H41" s="168">
        <v>0</v>
      </c>
      <c r="I41" s="169"/>
      <c r="J41" s="170">
        <f>H41*12</f>
        <v>0</v>
      </c>
      <c r="K41" s="170">
        <f>H41*8.5</f>
        <v>0</v>
      </c>
      <c r="L41" s="171">
        <f>H41*3.5</f>
        <v>0</v>
      </c>
    </row>
    <row r="42" spans="1:27" hidden="1" x14ac:dyDescent="0.2">
      <c r="B42" s="545" t="s">
        <v>242</v>
      </c>
      <c r="C42" s="545"/>
      <c r="D42" s="545"/>
    </row>
    <row r="43" spans="1:27" ht="26.25" hidden="1" thickBot="1" x14ac:dyDescent="0.25">
      <c r="A43" s="2"/>
      <c r="B43" s="3" t="s">
        <v>0</v>
      </c>
      <c r="C43" s="3" t="s">
        <v>1</v>
      </c>
      <c r="D43" s="3" t="s">
        <v>2</v>
      </c>
      <c r="E43" s="3" t="s">
        <v>3</v>
      </c>
      <c r="F43" s="3" t="s">
        <v>4</v>
      </c>
      <c r="G43" s="3" t="s">
        <v>42</v>
      </c>
      <c r="H43" s="3" t="s">
        <v>43</v>
      </c>
      <c r="I43" s="4" t="s">
        <v>60</v>
      </c>
      <c r="J43" s="4" t="s">
        <v>61</v>
      </c>
      <c r="K43" s="3" t="s">
        <v>62</v>
      </c>
      <c r="L43" s="4" t="s">
        <v>44</v>
      </c>
      <c r="M43" s="3" t="s">
        <v>45</v>
      </c>
      <c r="N43" s="3" t="s">
        <v>41</v>
      </c>
      <c r="O43" s="599" t="s">
        <v>253</v>
      </c>
      <c r="P43" s="599"/>
      <c r="Q43" s="335" t="s">
        <v>66</v>
      </c>
      <c r="R43" s="335" t="s">
        <v>67</v>
      </c>
      <c r="S43" s="335" t="s">
        <v>68</v>
      </c>
      <c r="U43" s="335" t="s">
        <v>66</v>
      </c>
      <c r="V43" s="335" t="s">
        <v>67</v>
      </c>
      <c r="W43" s="335" t="s">
        <v>68</v>
      </c>
      <c r="Y43" s="336" t="s">
        <v>464</v>
      </c>
      <c r="Z43" s="336" t="s">
        <v>465</v>
      </c>
    </row>
    <row r="44" spans="1:27" hidden="1" x14ac:dyDescent="0.2">
      <c r="A44" s="5">
        <v>1</v>
      </c>
      <c r="B44" s="28"/>
      <c r="C44" s="17"/>
      <c r="D44" s="17"/>
      <c r="E44" s="183"/>
      <c r="F44" s="17"/>
      <c r="G44" s="176"/>
      <c r="H44" s="177"/>
      <c r="I44" s="178"/>
      <c r="J44" s="178"/>
      <c r="K44" s="178"/>
      <c r="L44" s="343" t="str">
        <f t="shared" ref="L44:L58" si="12">IF(NOT(OR(ISBLANK(H44),H44="")), IF(OR(AND(ISBLANK(I44),ISBLANK(J44),ISBLANK(K44)),AND(I44="",J44="",K44="")),0, IF((AND((I44&gt;0),((J44+K44)&gt;0))),"Error", IF((I44&gt;0),ROUND(((H44*I44)/12),2),ROUND((H44*(J44+K44))/8.5,2)))),"")</f>
        <v/>
      </c>
      <c r="M44" s="45" t="str">
        <f t="shared" ref="M44:M50" si="13">IF(ISBLANK(H44),"",ROUND(SUM(U44:W44),2))</f>
        <v/>
      </c>
      <c r="N44" s="319" t="str">
        <f t="shared" ref="N44:N50" si="14">IF(ISBLANK(H44),"",ROUND(SUM(L44:M44),2))</f>
        <v/>
      </c>
      <c r="O44" s="597"/>
      <c r="P44" s="598"/>
      <c r="Q44" s="336">
        <f t="shared" ref="Q44:Q51" si="15">(H44/12)*I44</f>
        <v>0</v>
      </c>
      <c r="R44" s="337">
        <f>(H44/8.5)*J44</f>
        <v>0</v>
      </c>
      <c r="S44" s="336">
        <f>(H44/8.5)*K44</f>
        <v>0</v>
      </c>
      <c r="U44" s="336">
        <f t="shared" ref="U44:U51" si="16">Q44*LOOKUP("Full",Ben,Per)</f>
        <v>0</v>
      </c>
      <c r="V44" s="336">
        <f t="shared" ref="V44:V51" si="17">R44*LOOKUP("Full",Ben,Per)</f>
        <v>0</v>
      </c>
      <c r="W44" s="336">
        <f t="shared" ref="W44:W51" si="18">S44*LOOKUP("Summer",Ben,Per)</f>
        <v>0</v>
      </c>
      <c r="X44" s="336" t="s">
        <v>467</v>
      </c>
      <c r="Y44" s="336" t="b">
        <f t="shared" ref="Y44:Y58" si="19">IF(OR($N$5&lt;&gt;"Federal - NIH",OR(AND(ISBLANK(I44),ISBLANK(J44),ISBLANK(K44)),AND(I44="",J44="",K44=""))),FALSE,IF(I44&gt;0,H44&gt;NIHSalaryCap,H44&gt;(NIHSalaryCap*8.5)/12))</f>
        <v>0</v>
      </c>
      <c r="Z44" s="336" t="b">
        <f t="shared" ref="Z44:Z58" si="20">IF(AND($N$5="Federal - NIH",OR(NOT(ISBLANK(I44)),NOT(ISBLANK(J44)),NOT(ISBLANK(K44)),I44&lt;&gt;"",J44&lt;&gt;"",K44&lt;&gt;"")),IF(I44&gt;0,H44&lt;=NIHSalaryCap,H44&lt;=(NIHSalaryCap*8.5)/12),TRUE)</f>
        <v>1</v>
      </c>
      <c r="AA44" s="336" t="s">
        <v>498</v>
      </c>
    </row>
    <row r="45" spans="1:27" hidden="1" x14ac:dyDescent="0.2">
      <c r="A45" s="5">
        <v>2</v>
      </c>
      <c r="B45" s="6"/>
      <c r="C45" s="22"/>
      <c r="D45" s="22"/>
      <c r="E45" s="185"/>
      <c r="F45" s="22"/>
      <c r="G45" s="22"/>
      <c r="H45" s="42"/>
      <c r="I45" s="21"/>
      <c r="J45" s="21"/>
      <c r="K45" s="21"/>
      <c r="L45" s="344" t="str">
        <f t="shared" si="12"/>
        <v/>
      </c>
      <c r="M45" s="44" t="str">
        <f t="shared" si="13"/>
        <v/>
      </c>
      <c r="N45" s="273" t="str">
        <f t="shared" si="14"/>
        <v/>
      </c>
      <c r="O45" s="592"/>
      <c r="P45" s="593"/>
      <c r="Q45" s="336">
        <f t="shared" si="15"/>
        <v>0</v>
      </c>
      <c r="R45" s="337">
        <f t="shared" ref="R45:R51" si="21">(H45/8.5)*J45</f>
        <v>0</v>
      </c>
      <c r="S45" s="336">
        <f t="shared" ref="S45:S51" si="22">(H45/8.5)*K45</f>
        <v>0</v>
      </c>
      <c r="U45" s="336">
        <f t="shared" si="16"/>
        <v>0</v>
      </c>
      <c r="V45" s="336">
        <f t="shared" si="17"/>
        <v>0</v>
      </c>
      <c r="W45" s="336">
        <f t="shared" si="18"/>
        <v>0</v>
      </c>
      <c r="X45" s="336" t="s">
        <v>467</v>
      </c>
      <c r="Y45" s="336" t="b">
        <f t="shared" si="19"/>
        <v>0</v>
      </c>
      <c r="Z45" s="336" t="b">
        <f t="shared" si="20"/>
        <v>1</v>
      </c>
      <c r="AA45" s="336" t="s">
        <v>498</v>
      </c>
    </row>
    <row r="46" spans="1:27" hidden="1" x14ac:dyDescent="0.2">
      <c r="A46" s="5">
        <v>3</v>
      </c>
      <c r="B46" s="6"/>
      <c r="C46" s="22"/>
      <c r="D46" s="22"/>
      <c r="E46" s="22"/>
      <c r="F46" s="22"/>
      <c r="G46" s="70"/>
      <c r="H46" s="42"/>
      <c r="I46" s="21"/>
      <c r="J46" s="21"/>
      <c r="K46" s="21"/>
      <c r="L46" s="344" t="str">
        <f t="shared" si="12"/>
        <v/>
      </c>
      <c r="M46" s="44" t="str">
        <f t="shared" si="13"/>
        <v/>
      </c>
      <c r="N46" s="273" t="str">
        <f t="shared" si="14"/>
        <v/>
      </c>
      <c r="O46" s="592"/>
      <c r="P46" s="593"/>
      <c r="Q46" s="336">
        <f t="shared" si="15"/>
        <v>0</v>
      </c>
      <c r="R46" s="337">
        <f t="shared" si="21"/>
        <v>0</v>
      </c>
      <c r="S46" s="336">
        <f t="shared" si="22"/>
        <v>0</v>
      </c>
      <c r="U46" s="336">
        <f t="shared" si="16"/>
        <v>0</v>
      </c>
      <c r="V46" s="336">
        <f t="shared" si="17"/>
        <v>0</v>
      </c>
      <c r="W46" s="336">
        <f t="shared" si="18"/>
        <v>0</v>
      </c>
      <c r="X46" s="336" t="s">
        <v>467</v>
      </c>
      <c r="Y46" s="336" t="b">
        <f t="shared" si="19"/>
        <v>0</v>
      </c>
      <c r="Z46" s="336" t="b">
        <f t="shared" si="20"/>
        <v>1</v>
      </c>
      <c r="AA46" s="336" t="s">
        <v>498</v>
      </c>
    </row>
    <row r="47" spans="1:27" hidden="1" x14ac:dyDescent="0.2">
      <c r="A47" s="5">
        <v>4</v>
      </c>
      <c r="B47" s="6"/>
      <c r="C47" s="22"/>
      <c r="D47" s="22"/>
      <c r="E47" s="22"/>
      <c r="F47" s="22"/>
      <c r="G47" s="71"/>
      <c r="H47" s="42"/>
      <c r="I47" s="21"/>
      <c r="J47" s="21"/>
      <c r="K47" s="21"/>
      <c r="L47" s="344" t="str">
        <f t="shared" si="12"/>
        <v/>
      </c>
      <c r="M47" s="44" t="str">
        <f t="shared" si="13"/>
        <v/>
      </c>
      <c r="N47" s="273" t="str">
        <f t="shared" si="14"/>
        <v/>
      </c>
      <c r="O47" s="592"/>
      <c r="P47" s="593"/>
      <c r="Q47" s="336">
        <f t="shared" si="15"/>
        <v>0</v>
      </c>
      <c r="R47" s="337">
        <f t="shared" si="21"/>
        <v>0</v>
      </c>
      <c r="S47" s="336">
        <f t="shared" si="22"/>
        <v>0</v>
      </c>
      <c r="U47" s="336">
        <f t="shared" si="16"/>
        <v>0</v>
      </c>
      <c r="V47" s="336">
        <f t="shared" si="17"/>
        <v>0</v>
      </c>
      <c r="W47" s="336">
        <f t="shared" si="18"/>
        <v>0</v>
      </c>
      <c r="X47" s="336" t="s">
        <v>467</v>
      </c>
      <c r="Y47" s="336" t="b">
        <f t="shared" si="19"/>
        <v>0</v>
      </c>
      <c r="Z47" s="336" t="b">
        <f t="shared" si="20"/>
        <v>1</v>
      </c>
      <c r="AA47" s="336" t="s">
        <v>498</v>
      </c>
    </row>
    <row r="48" spans="1:27" hidden="1" x14ac:dyDescent="0.2">
      <c r="A48" s="5">
        <v>5</v>
      </c>
      <c r="B48" s="6"/>
      <c r="C48" s="22"/>
      <c r="D48" s="22"/>
      <c r="E48" s="22"/>
      <c r="F48" s="22"/>
      <c r="G48" s="22"/>
      <c r="H48" s="42"/>
      <c r="I48" s="346"/>
      <c r="J48" s="21"/>
      <c r="K48" s="21"/>
      <c r="L48" s="344" t="str">
        <f t="shared" si="12"/>
        <v/>
      </c>
      <c r="M48" s="44" t="str">
        <f t="shared" si="13"/>
        <v/>
      </c>
      <c r="N48" s="273" t="str">
        <f t="shared" si="14"/>
        <v/>
      </c>
      <c r="O48" s="592"/>
      <c r="P48" s="593"/>
      <c r="Q48" s="336">
        <f t="shared" si="15"/>
        <v>0</v>
      </c>
      <c r="R48" s="337">
        <f t="shared" si="21"/>
        <v>0</v>
      </c>
      <c r="S48" s="336">
        <f t="shared" si="22"/>
        <v>0</v>
      </c>
      <c r="U48" s="336">
        <f t="shared" si="16"/>
        <v>0</v>
      </c>
      <c r="V48" s="336">
        <f t="shared" si="17"/>
        <v>0</v>
      </c>
      <c r="W48" s="336">
        <f t="shared" si="18"/>
        <v>0</v>
      </c>
      <c r="X48" s="336" t="s">
        <v>467</v>
      </c>
      <c r="Y48" s="336" t="b">
        <f t="shared" si="19"/>
        <v>0</v>
      </c>
      <c r="Z48" s="336" t="b">
        <f t="shared" si="20"/>
        <v>1</v>
      </c>
      <c r="AA48" s="336" t="s">
        <v>498</v>
      </c>
    </row>
    <row r="49" spans="1:27" hidden="1" x14ac:dyDescent="0.2">
      <c r="A49" s="5">
        <v>6</v>
      </c>
      <c r="B49" s="6"/>
      <c r="C49" s="22"/>
      <c r="D49" s="22"/>
      <c r="E49" s="22"/>
      <c r="F49" s="22"/>
      <c r="G49" s="22"/>
      <c r="H49" s="42"/>
      <c r="I49" s="21"/>
      <c r="J49" s="21"/>
      <c r="K49" s="21"/>
      <c r="L49" s="344" t="str">
        <f t="shared" si="12"/>
        <v/>
      </c>
      <c r="M49" s="44" t="str">
        <f t="shared" si="13"/>
        <v/>
      </c>
      <c r="N49" s="273" t="str">
        <f t="shared" si="14"/>
        <v/>
      </c>
      <c r="O49" s="592"/>
      <c r="P49" s="593"/>
      <c r="Q49" s="336">
        <f t="shared" si="15"/>
        <v>0</v>
      </c>
      <c r="R49" s="337">
        <f t="shared" si="21"/>
        <v>0</v>
      </c>
      <c r="S49" s="336">
        <f t="shared" si="22"/>
        <v>0</v>
      </c>
      <c r="U49" s="336">
        <f t="shared" si="16"/>
        <v>0</v>
      </c>
      <c r="V49" s="336">
        <f t="shared" si="17"/>
        <v>0</v>
      </c>
      <c r="W49" s="336">
        <f t="shared" si="18"/>
        <v>0</v>
      </c>
      <c r="X49" s="336" t="s">
        <v>467</v>
      </c>
      <c r="Y49" s="336" t="b">
        <f t="shared" si="19"/>
        <v>0</v>
      </c>
      <c r="Z49" s="336" t="b">
        <f t="shared" si="20"/>
        <v>1</v>
      </c>
      <c r="AA49" s="336" t="s">
        <v>498</v>
      </c>
    </row>
    <row r="50" spans="1:27" hidden="1" x14ac:dyDescent="0.2">
      <c r="A50" s="5">
        <v>7</v>
      </c>
      <c r="B50" s="6"/>
      <c r="C50" s="22"/>
      <c r="D50" s="22"/>
      <c r="E50" s="22"/>
      <c r="F50" s="22"/>
      <c r="G50" s="22"/>
      <c r="H50" s="42"/>
      <c r="I50" s="21"/>
      <c r="J50" s="21"/>
      <c r="K50" s="21"/>
      <c r="L50" s="344" t="str">
        <f t="shared" si="12"/>
        <v/>
      </c>
      <c r="M50" s="44" t="str">
        <f t="shared" si="13"/>
        <v/>
      </c>
      <c r="N50" s="273" t="str">
        <f t="shared" si="14"/>
        <v/>
      </c>
      <c r="O50" s="592"/>
      <c r="P50" s="593"/>
      <c r="Q50" s="336">
        <f t="shared" si="15"/>
        <v>0</v>
      </c>
      <c r="R50" s="337">
        <f t="shared" si="21"/>
        <v>0</v>
      </c>
      <c r="S50" s="336">
        <f t="shared" si="22"/>
        <v>0</v>
      </c>
      <c r="U50" s="336">
        <f t="shared" si="16"/>
        <v>0</v>
      </c>
      <c r="V50" s="336">
        <f t="shared" si="17"/>
        <v>0</v>
      </c>
      <c r="W50" s="336">
        <f t="shared" si="18"/>
        <v>0</v>
      </c>
      <c r="X50" s="336" t="s">
        <v>467</v>
      </c>
      <c r="Y50" s="336" t="b">
        <f t="shared" si="19"/>
        <v>0</v>
      </c>
      <c r="Z50" s="336" t="b">
        <f t="shared" si="20"/>
        <v>1</v>
      </c>
      <c r="AA50" s="336" t="s">
        <v>498</v>
      </c>
    </row>
    <row r="51" spans="1:27" hidden="1" x14ac:dyDescent="0.2">
      <c r="A51" s="5">
        <v>8</v>
      </c>
      <c r="B51" s="75"/>
      <c r="C51" s="69"/>
      <c r="D51" s="69"/>
      <c r="E51" s="69"/>
      <c r="F51" s="69"/>
      <c r="G51" s="69"/>
      <c r="H51" s="42"/>
      <c r="I51" s="19"/>
      <c r="J51" s="19"/>
      <c r="K51" s="19"/>
      <c r="L51" s="344" t="str">
        <f t="shared" si="12"/>
        <v/>
      </c>
      <c r="M51" s="49" t="str">
        <f t="shared" ref="M51:M58" si="23">IF(ISBLANK(H51),"",ROUND(SUM(U51:W51),2))</f>
        <v/>
      </c>
      <c r="N51" s="272" t="str">
        <f t="shared" ref="N51:N58" si="24">IF(ISBLANK(H51),"",ROUND(SUM(L51:M51),2))</f>
        <v/>
      </c>
      <c r="O51" s="592"/>
      <c r="P51" s="593"/>
      <c r="Q51" s="336">
        <f t="shared" si="15"/>
        <v>0</v>
      </c>
      <c r="R51" s="337">
        <f t="shared" si="21"/>
        <v>0</v>
      </c>
      <c r="S51" s="336">
        <f t="shared" si="22"/>
        <v>0</v>
      </c>
      <c r="U51" s="336">
        <f t="shared" si="16"/>
        <v>0</v>
      </c>
      <c r="V51" s="336">
        <f t="shared" si="17"/>
        <v>0</v>
      </c>
      <c r="W51" s="336">
        <f t="shared" si="18"/>
        <v>0</v>
      </c>
      <c r="X51" s="336" t="s">
        <v>467</v>
      </c>
      <c r="Y51" s="336" t="b">
        <f t="shared" si="19"/>
        <v>0</v>
      </c>
      <c r="Z51" s="336" t="b">
        <f t="shared" si="20"/>
        <v>1</v>
      </c>
      <c r="AA51" s="336" t="s">
        <v>498</v>
      </c>
    </row>
    <row r="52" spans="1:27" hidden="1" x14ac:dyDescent="0.2">
      <c r="A52" s="5">
        <v>9</v>
      </c>
      <c r="B52" s="6"/>
      <c r="C52" s="22"/>
      <c r="D52" s="22"/>
      <c r="E52" s="22"/>
      <c r="F52" s="22"/>
      <c r="G52" s="71"/>
      <c r="H52" s="42"/>
      <c r="I52" s="21"/>
      <c r="J52" s="21"/>
      <c r="K52" s="21"/>
      <c r="L52" s="344" t="str">
        <f t="shared" si="12"/>
        <v/>
      </c>
      <c r="M52" s="44" t="str">
        <f t="shared" si="23"/>
        <v/>
      </c>
      <c r="N52" s="273" t="str">
        <f t="shared" si="24"/>
        <v/>
      </c>
      <c r="O52" s="592"/>
      <c r="P52" s="593"/>
      <c r="Q52" s="336">
        <f t="shared" ref="Q52:Q58" si="25">(H52/12)*I52</f>
        <v>0</v>
      </c>
      <c r="R52" s="337">
        <f t="shared" ref="R52:R58" si="26">(H52/8.5)*J52</f>
        <v>0</v>
      </c>
      <c r="S52" s="336">
        <f t="shared" ref="S52:S58" si="27">(H52/8.5)*K52</f>
        <v>0</v>
      </c>
      <c r="U52" s="336">
        <f t="shared" ref="U52:U58" si="28">Q52*LOOKUP("Full",Ben,Per)</f>
        <v>0</v>
      </c>
      <c r="V52" s="336">
        <f t="shared" ref="V52:V58" si="29">R52*LOOKUP("Full",Ben,Per)</f>
        <v>0</v>
      </c>
      <c r="W52" s="336">
        <f t="shared" ref="W52:W58" si="30">S52*LOOKUP("Summer",Ben,Per)</f>
        <v>0</v>
      </c>
      <c r="X52" s="336" t="s">
        <v>467</v>
      </c>
      <c r="Y52" s="336" t="b">
        <f t="shared" si="19"/>
        <v>0</v>
      </c>
      <c r="Z52" s="336" t="b">
        <f t="shared" si="20"/>
        <v>1</v>
      </c>
      <c r="AA52" s="336" t="s">
        <v>498</v>
      </c>
    </row>
    <row r="53" spans="1:27" hidden="1" x14ac:dyDescent="0.2">
      <c r="A53" s="5">
        <v>10</v>
      </c>
      <c r="B53" s="6"/>
      <c r="C53" s="22"/>
      <c r="D53" s="22"/>
      <c r="E53" s="22"/>
      <c r="F53" s="22"/>
      <c r="G53" s="22"/>
      <c r="H53" s="42"/>
      <c r="I53" s="21"/>
      <c r="J53" s="21"/>
      <c r="K53" s="21"/>
      <c r="L53" s="344" t="str">
        <f t="shared" si="12"/>
        <v/>
      </c>
      <c r="M53" s="44" t="str">
        <f t="shared" si="23"/>
        <v/>
      </c>
      <c r="N53" s="273" t="str">
        <f t="shared" si="24"/>
        <v/>
      </c>
      <c r="O53" s="592"/>
      <c r="P53" s="593"/>
      <c r="Q53" s="336">
        <f t="shared" si="25"/>
        <v>0</v>
      </c>
      <c r="R53" s="337">
        <f t="shared" si="26"/>
        <v>0</v>
      </c>
      <c r="S53" s="336">
        <f t="shared" si="27"/>
        <v>0</v>
      </c>
      <c r="U53" s="336">
        <f t="shared" si="28"/>
        <v>0</v>
      </c>
      <c r="V53" s="336">
        <f t="shared" si="29"/>
        <v>0</v>
      </c>
      <c r="W53" s="336">
        <f t="shared" si="30"/>
        <v>0</v>
      </c>
      <c r="X53" s="336" t="s">
        <v>467</v>
      </c>
      <c r="Y53" s="336" t="b">
        <f t="shared" si="19"/>
        <v>0</v>
      </c>
      <c r="Z53" s="336" t="b">
        <f t="shared" si="20"/>
        <v>1</v>
      </c>
      <c r="AA53" s="336" t="s">
        <v>498</v>
      </c>
    </row>
    <row r="54" spans="1:27" hidden="1" x14ac:dyDescent="0.2">
      <c r="A54" s="5">
        <v>11</v>
      </c>
      <c r="B54" s="6"/>
      <c r="C54" s="22"/>
      <c r="D54" s="22"/>
      <c r="E54" s="22"/>
      <c r="F54" s="22"/>
      <c r="G54" s="22"/>
      <c r="H54" s="42"/>
      <c r="I54" s="21"/>
      <c r="J54" s="21"/>
      <c r="K54" s="21"/>
      <c r="L54" s="344" t="str">
        <f t="shared" si="12"/>
        <v/>
      </c>
      <c r="M54" s="44" t="str">
        <f t="shared" si="23"/>
        <v/>
      </c>
      <c r="N54" s="273" t="str">
        <f t="shared" si="24"/>
        <v/>
      </c>
      <c r="O54" s="592"/>
      <c r="P54" s="593"/>
      <c r="Q54" s="336">
        <f t="shared" si="25"/>
        <v>0</v>
      </c>
      <c r="R54" s="337">
        <f t="shared" si="26"/>
        <v>0</v>
      </c>
      <c r="S54" s="336">
        <f t="shared" si="27"/>
        <v>0</v>
      </c>
      <c r="U54" s="336">
        <f t="shared" si="28"/>
        <v>0</v>
      </c>
      <c r="V54" s="336">
        <f t="shared" si="29"/>
        <v>0</v>
      </c>
      <c r="W54" s="336">
        <f t="shared" si="30"/>
        <v>0</v>
      </c>
      <c r="X54" s="336" t="s">
        <v>467</v>
      </c>
      <c r="Y54" s="336" t="b">
        <f t="shared" si="19"/>
        <v>0</v>
      </c>
      <c r="Z54" s="336" t="b">
        <f t="shared" si="20"/>
        <v>1</v>
      </c>
      <c r="AA54" s="336" t="s">
        <v>498</v>
      </c>
    </row>
    <row r="55" spans="1:27" hidden="1" x14ac:dyDescent="0.2">
      <c r="A55" s="5">
        <v>12</v>
      </c>
      <c r="B55" s="6"/>
      <c r="C55" s="22"/>
      <c r="D55" s="22"/>
      <c r="E55" s="22"/>
      <c r="F55" s="22"/>
      <c r="G55" s="22"/>
      <c r="H55" s="42"/>
      <c r="I55" s="21"/>
      <c r="J55" s="21"/>
      <c r="K55" s="21"/>
      <c r="L55" s="344" t="str">
        <f t="shared" si="12"/>
        <v/>
      </c>
      <c r="M55" s="44" t="str">
        <f t="shared" si="23"/>
        <v/>
      </c>
      <c r="N55" s="273" t="str">
        <f t="shared" si="24"/>
        <v/>
      </c>
      <c r="O55" s="592"/>
      <c r="P55" s="593"/>
      <c r="Q55" s="336">
        <f t="shared" si="25"/>
        <v>0</v>
      </c>
      <c r="R55" s="337">
        <f t="shared" si="26"/>
        <v>0</v>
      </c>
      <c r="S55" s="336">
        <f t="shared" si="27"/>
        <v>0</v>
      </c>
      <c r="U55" s="336">
        <f t="shared" si="28"/>
        <v>0</v>
      </c>
      <c r="V55" s="336">
        <f t="shared" si="29"/>
        <v>0</v>
      </c>
      <c r="W55" s="336">
        <f t="shared" si="30"/>
        <v>0</v>
      </c>
      <c r="X55" s="336" t="s">
        <v>467</v>
      </c>
      <c r="Y55" s="336" t="b">
        <f t="shared" si="19"/>
        <v>0</v>
      </c>
      <c r="Z55" s="336" t="b">
        <f t="shared" si="20"/>
        <v>1</v>
      </c>
      <c r="AA55" s="336" t="s">
        <v>498</v>
      </c>
    </row>
    <row r="56" spans="1:27" hidden="1" x14ac:dyDescent="0.2">
      <c r="A56" s="5">
        <v>13</v>
      </c>
      <c r="B56" s="75"/>
      <c r="C56" s="69"/>
      <c r="D56" s="69"/>
      <c r="E56" s="69"/>
      <c r="F56" s="69"/>
      <c r="G56" s="69"/>
      <c r="H56" s="42"/>
      <c r="I56" s="19"/>
      <c r="J56" s="19"/>
      <c r="K56" s="19"/>
      <c r="L56" s="344" t="str">
        <f t="shared" si="12"/>
        <v/>
      </c>
      <c r="M56" s="49" t="str">
        <f>IF(ISBLANK(H56),"",ROUND(SUM(U56:W56),2))</f>
        <v/>
      </c>
      <c r="N56" s="272" t="str">
        <f>IF(ISBLANK(H56),"",ROUND(SUM(L56:M56),2))</f>
        <v/>
      </c>
      <c r="O56" s="592"/>
      <c r="P56" s="593"/>
      <c r="Q56" s="336">
        <f t="shared" si="25"/>
        <v>0</v>
      </c>
      <c r="R56" s="337">
        <f t="shared" si="26"/>
        <v>0</v>
      </c>
      <c r="S56" s="336">
        <f t="shared" si="27"/>
        <v>0</v>
      </c>
      <c r="U56" s="336">
        <f t="shared" si="28"/>
        <v>0</v>
      </c>
      <c r="V56" s="336">
        <f t="shared" si="29"/>
        <v>0</v>
      </c>
      <c r="W56" s="336">
        <f t="shared" si="30"/>
        <v>0</v>
      </c>
      <c r="X56" s="336" t="s">
        <v>467</v>
      </c>
      <c r="Y56" s="336" t="b">
        <f t="shared" si="19"/>
        <v>0</v>
      </c>
      <c r="Z56" s="336" t="b">
        <f t="shared" si="20"/>
        <v>1</v>
      </c>
      <c r="AA56" s="336" t="s">
        <v>498</v>
      </c>
    </row>
    <row r="57" spans="1:27" hidden="1" x14ac:dyDescent="0.2">
      <c r="A57" s="5">
        <v>14</v>
      </c>
      <c r="B57" s="6"/>
      <c r="C57" s="22"/>
      <c r="D57" s="22"/>
      <c r="E57" s="22"/>
      <c r="F57" s="22"/>
      <c r="G57" s="22"/>
      <c r="H57" s="42"/>
      <c r="I57" s="21"/>
      <c r="J57" s="21"/>
      <c r="K57" s="21"/>
      <c r="L57" s="344" t="str">
        <f t="shared" si="12"/>
        <v/>
      </c>
      <c r="M57" s="44" t="str">
        <f t="shared" si="23"/>
        <v/>
      </c>
      <c r="N57" s="273" t="str">
        <f t="shared" si="24"/>
        <v/>
      </c>
      <c r="O57" s="592"/>
      <c r="P57" s="593"/>
      <c r="Q57" s="336">
        <f t="shared" si="25"/>
        <v>0</v>
      </c>
      <c r="R57" s="337">
        <f t="shared" si="26"/>
        <v>0</v>
      </c>
      <c r="S57" s="336">
        <f t="shared" si="27"/>
        <v>0</v>
      </c>
      <c r="U57" s="336">
        <f t="shared" si="28"/>
        <v>0</v>
      </c>
      <c r="V57" s="336">
        <f t="shared" si="29"/>
        <v>0</v>
      </c>
      <c r="W57" s="336">
        <f t="shared" si="30"/>
        <v>0</v>
      </c>
      <c r="X57" s="336" t="s">
        <v>467</v>
      </c>
      <c r="Y57" s="336" t="b">
        <f t="shared" si="19"/>
        <v>0</v>
      </c>
      <c r="Z57" s="336" t="b">
        <f t="shared" si="20"/>
        <v>1</v>
      </c>
      <c r="AA57" s="336" t="s">
        <v>498</v>
      </c>
    </row>
    <row r="58" spans="1:27" ht="13.5" hidden="1" thickBot="1" x14ac:dyDescent="0.25">
      <c r="A58" s="5">
        <v>15</v>
      </c>
      <c r="B58" s="175"/>
      <c r="C58" s="29"/>
      <c r="D58" s="29"/>
      <c r="E58" s="29"/>
      <c r="F58" s="29"/>
      <c r="G58" s="179"/>
      <c r="H58" s="43"/>
      <c r="I58" s="30"/>
      <c r="J58" s="30"/>
      <c r="K58" s="30"/>
      <c r="L58" s="345" t="str">
        <f t="shared" si="12"/>
        <v/>
      </c>
      <c r="M58" s="180" t="str">
        <f t="shared" si="23"/>
        <v/>
      </c>
      <c r="N58" s="320" t="str">
        <f t="shared" si="24"/>
        <v/>
      </c>
      <c r="O58" s="592"/>
      <c r="P58" s="593"/>
      <c r="Q58" s="336">
        <f t="shared" si="25"/>
        <v>0</v>
      </c>
      <c r="R58" s="337">
        <f t="shared" si="26"/>
        <v>0</v>
      </c>
      <c r="S58" s="336">
        <f t="shared" si="27"/>
        <v>0</v>
      </c>
      <c r="U58" s="336">
        <f t="shared" si="28"/>
        <v>0</v>
      </c>
      <c r="V58" s="336">
        <f t="shared" si="29"/>
        <v>0</v>
      </c>
      <c r="W58" s="336">
        <f t="shared" si="30"/>
        <v>0</v>
      </c>
      <c r="X58" s="336" t="s">
        <v>467</v>
      </c>
      <c r="Y58" s="336" t="b">
        <f t="shared" si="19"/>
        <v>0</v>
      </c>
      <c r="Z58" s="336" t="b">
        <f t="shared" si="20"/>
        <v>1</v>
      </c>
      <c r="AA58" s="336" t="s">
        <v>498</v>
      </c>
    </row>
    <row r="59" spans="1:27" ht="13.5" hidden="1" thickBot="1" x14ac:dyDescent="0.25">
      <c r="B59" s="27">
        <f>COUNTIF(E44:E58,"*")</f>
        <v>0</v>
      </c>
      <c r="N59" s="321">
        <f>SUM(N44:N58)</f>
        <v>0</v>
      </c>
      <c r="O59" s="600"/>
      <c r="P59" s="601"/>
      <c r="Q59" s="336">
        <f>SUM(Q44:Q58)</f>
        <v>0</v>
      </c>
      <c r="R59" s="336">
        <f t="shared" ref="R59:W59" si="31">SUM(R44:R58)</f>
        <v>0</v>
      </c>
      <c r="S59" s="336">
        <f t="shared" si="31"/>
        <v>0</v>
      </c>
      <c r="U59" s="336">
        <f t="shared" si="31"/>
        <v>0</v>
      </c>
      <c r="V59" s="336">
        <f t="shared" si="31"/>
        <v>0</v>
      </c>
      <c r="W59" s="336">
        <f t="shared" si="31"/>
        <v>0</v>
      </c>
    </row>
    <row r="60" spans="1:27" hidden="1" x14ac:dyDescent="0.2"/>
    <row r="61" spans="1:27" hidden="1" x14ac:dyDescent="0.2"/>
  </sheetData>
  <sheetProtection algorithmName="SHA-512" hashValue="8zQf7/ISKVF6HSK07omNNjsgCwcr3vdtezIwaojyQd4yS7zjEEcG4ciftkg4VbSnsF3D6R4xc1QYldaunB0ftg==" saltValue="4lv5tuK1QZ+YMf+FT01eNQ==" spinCount="100000" sheet="1" objects="1" scenarios="1"/>
  <dataConsolidate/>
  <mergeCells count="66">
    <mergeCell ref="B4:H4"/>
    <mergeCell ref="O59:P59"/>
    <mergeCell ref="O13:P13"/>
    <mergeCell ref="O12:P12"/>
    <mergeCell ref="O11:P11"/>
    <mergeCell ref="O10:P10"/>
    <mergeCell ref="O28:P28"/>
    <mergeCell ref="O27:P27"/>
    <mergeCell ref="O26:P26"/>
    <mergeCell ref="O25:P25"/>
    <mergeCell ref="O24:P24"/>
    <mergeCell ref="O23:P23"/>
    <mergeCell ref="O22:P22"/>
    <mergeCell ref="O21:P21"/>
    <mergeCell ref="O20:P20"/>
    <mergeCell ref="O30:P30"/>
    <mergeCell ref="O53:P53"/>
    <mergeCell ref="O52:P52"/>
    <mergeCell ref="O51:P51"/>
    <mergeCell ref="O50:P50"/>
    <mergeCell ref="O49:P49"/>
    <mergeCell ref="O58:P58"/>
    <mergeCell ref="O57:P57"/>
    <mergeCell ref="O56:P56"/>
    <mergeCell ref="O55:P55"/>
    <mergeCell ref="O54:P54"/>
    <mergeCell ref="O9:P9"/>
    <mergeCell ref="O6:P6"/>
    <mergeCell ref="O8:P8"/>
    <mergeCell ref="O7:P7"/>
    <mergeCell ref="O48:P48"/>
    <mergeCell ref="O47:P47"/>
    <mergeCell ref="O46:P46"/>
    <mergeCell ref="O45:P45"/>
    <mergeCell ref="O44:P44"/>
    <mergeCell ref="O43:P43"/>
    <mergeCell ref="O16:P16"/>
    <mergeCell ref="O15:P15"/>
    <mergeCell ref="O14:P14"/>
    <mergeCell ref="O29:P29"/>
    <mergeCell ref="C24:H24"/>
    <mergeCell ref="C22:H22"/>
    <mergeCell ref="I30:M30"/>
    <mergeCell ref="C25:H25"/>
    <mergeCell ref="C29:F29"/>
    <mergeCell ref="I29:M29"/>
    <mergeCell ref="C26:H26"/>
    <mergeCell ref="C27:H27"/>
    <mergeCell ref="C28:H28"/>
    <mergeCell ref="C23:F23"/>
    <mergeCell ref="B42:D42"/>
    <mergeCell ref="H35:L39"/>
    <mergeCell ref="H33:L34"/>
    <mergeCell ref="A3:N3"/>
    <mergeCell ref="A1:N1"/>
    <mergeCell ref="B5:C5"/>
    <mergeCell ref="C15:F15"/>
    <mergeCell ref="J4:K4"/>
    <mergeCell ref="L5:M5"/>
    <mergeCell ref="L4:M4"/>
    <mergeCell ref="C16:F16"/>
    <mergeCell ref="J16:M16"/>
    <mergeCell ref="G15:M15"/>
    <mergeCell ref="B19:C19"/>
    <mergeCell ref="D19:K19"/>
    <mergeCell ref="C21:H21"/>
  </mergeCells>
  <phoneticPr fontId="5" type="noConversion"/>
  <conditionalFormatting sqref="N5">
    <cfRule type="cellIs" dxfId="60" priority="29" stopIfTrue="1" operator="equal">
      <formula>""</formula>
    </cfRule>
  </conditionalFormatting>
  <conditionalFormatting sqref="L21:L28 H8:H14">
    <cfRule type="cellIs" dxfId="59" priority="30" stopIfTrue="1" operator="lessThan">
      <formula>1</formula>
    </cfRule>
  </conditionalFormatting>
  <conditionalFormatting sqref="E7 H7 C7">
    <cfRule type="cellIs" dxfId="58" priority="31" stopIfTrue="1" operator="lessThanOrEqual">
      <formula>0</formula>
    </cfRule>
  </conditionalFormatting>
  <conditionalFormatting sqref="H23">
    <cfRule type="cellIs" dxfId="57" priority="32" stopIfTrue="1" operator="equal">
      <formula>""</formula>
    </cfRule>
  </conditionalFormatting>
  <conditionalFormatting sqref="G7 J5 H5">
    <cfRule type="cellIs" dxfId="56" priority="33" stopIfTrue="1" operator="lessThan">
      <formula>1</formula>
    </cfRule>
  </conditionalFormatting>
  <conditionalFormatting sqref="H44:H58">
    <cfRule type="cellIs" dxfId="55" priority="28" stopIfTrue="1" operator="lessThan">
      <formula>1</formula>
    </cfRule>
  </conditionalFormatting>
  <conditionalFormatting sqref="H7">
    <cfRule type="expression" dxfId="54" priority="24">
      <formula>IF(OR(N5&lt;&gt;"Federal - NIH",OR(AND(ISBLANK(I7),ISBLANK(J7),ISBLANK(K7)),AND(I7="",J7="",K7=""))),FALSE,IF(I7&gt;0,H7&gt;NIHSalaryCap,H7&gt;(NIHSalaryCap*8.5)/12))</formula>
    </cfRule>
  </conditionalFormatting>
  <conditionalFormatting sqref="H8:H14">
    <cfRule type="expression" dxfId="53" priority="23">
      <formula>IF(OR($N$5&lt;&gt;"Federal - NIH",OR(AND(ISBLANK(I8),ISBLANK(J8),ISBLANK(K8)),AND(I8="",J8="",K8=""))),FALSE,IF(I8&gt;0,H8&gt;NIHSalaryCap,H8&gt;(NIHSalaryCap*8.5)/12))</formula>
    </cfRule>
  </conditionalFormatting>
  <conditionalFormatting sqref="H9">
    <cfRule type="expression" dxfId="52" priority="22">
      <formula>IF(OR($N$5&lt;&gt;"Federal - NIH",OR(AND(ISBLANK(I9),ISBLANK(J9),ISBLANK(K9)),AND(I9="",J9="",K9=""))),FALSE,IF(I9&gt;0,H9&gt;NIHSalaryCap,H9&gt;(NIHSalaryCap*8.5)/12))</formula>
    </cfRule>
  </conditionalFormatting>
  <conditionalFormatting sqref="H10">
    <cfRule type="expression" dxfId="51" priority="21">
      <formula>IF(OR($N$5&lt;&gt;"Federal - NIH",OR(AND(ISBLANK(I10),ISBLANK(J10),ISBLANK(K10)),AND(I10="",J10="",K10=""))),FALSE,IF(I10&gt;0,H10&gt;NIHSalaryCap,H10&gt;(NIHSalaryCap*8.5)/12))</formula>
    </cfRule>
  </conditionalFormatting>
  <conditionalFormatting sqref="H11">
    <cfRule type="expression" dxfId="50" priority="20">
      <formula>IF(OR($N$5&lt;&gt;"Federal - NIH",OR(AND(ISBLANK(I11),ISBLANK(J11),ISBLANK(K11)),AND(I11="",J11="",K11=""))),FALSE,IF(I11&gt;0,H11&gt;NIHSalaryCap,H11&gt;(NIHSalaryCap*8.5)/12))</formula>
    </cfRule>
  </conditionalFormatting>
  <conditionalFormatting sqref="H12">
    <cfRule type="expression" dxfId="49" priority="19">
      <formula>IF(OR($N$5&lt;&gt;"Federal - NIH",OR(AND(ISBLANK(I12),ISBLANK(J12),ISBLANK(K12)),AND(I12="",J12="",K12=""))),FALSE,IF(I12&gt;0,H12&gt;NIHSalaryCap,H12&gt;(NIHSalaryCap*8.5)/12))</formula>
    </cfRule>
  </conditionalFormatting>
  <conditionalFormatting sqref="H13">
    <cfRule type="expression" dxfId="48" priority="18">
      <formula>IF(OR($N$5&lt;&gt;"Federal - NIH",OR(AND(ISBLANK(I13),ISBLANK(J13),ISBLANK(K13)),AND(I13="",J13="",K13=""))),FALSE,IF(I13&gt;0,H13&gt;NIHSalaryCap,H13&gt;(NIHSalaryCap*8.5)/12))</formula>
    </cfRule>
  </conditionalFormatting>
  <conditionalFormatting sqref="H14">
    <cfRule type="expression" dxfId="47" priority="17">
      <formula>IF(OR($N$5&lt;&gt;"Federal - NIH",OR(AND(ISBLANK(I14),ISBLANK(J14),ISBLANK(K14)),AND(I14="",J14="",K14=""))),FALSE,IF(I14&gt;0,H14&gt;NIHSalaryCap,H14&gt;(NIHSalaryCap*8.5)/12))</formula>
    </cfRule>
  </conditionalFormatting>
  <conditionalFormatting sqref="H44">
    <cfRule type="expression" dxfId="46" priority="16">
      <formula>IF(OR($N$5&lt;&gt;"Federal - NIH",OR(AND(ISBLANK(I44),ISBLANK(J44),ISBLANK(K44)),AND(I44="",J44="",K44=""))),FALSE,IF(I44&gt;0,H44&gt;NIHSalaryCap,H44&gt;(NIHSalaryCap*8.5)/12))</formula>
    </cfRule>
  </conditionalFormatting>
  <conditionalFormatting sqref="H45:H58">
    <cfRule type="expression" dxfId="45" priority="15">
      <formula>IF(OR($N$5&lt;&gt;"Federal - NIH",OR(AND(ISBLANK(I45),ISBLANK(J45),ISBLANK(K45)),AND(I45="",J45="",K45=""))),FALSE,IF(I45&gt;0,H45&gt;NIHSalaryCap,H45&gt;(NIHSalaryCap*8.5)/12))</formula>
    </cfRule>
  </conditionalFormatting>
  <conditionalFormatting sqref="H46">
    <cfRule type="expression" dxfId="44" priority="14">
      <formula>IF(OR($N$5&lt;&gt;"Federal - NIH",OR(AND(ISBLANK(I46),ISBLANK(J46),ISBLANK(K46)),AND(I46="",J46="",K46=""))),FALSE,IF(I46&gt;0,H46&gt;NIHSalaryCap,H46&gt;(NIHSalaryCap*8.5)/12))</formula>
    </cfRule>
  </conditionalFormatting>
  <conditionalFormatting sqref="H47">
    <cfRule type="expression" dxfId="43" priority="13">
      <formula>IF(OR($N$5&lt;&gt;"Federal - NIH",OR(AND(ISBLANK(I47),ISBLANK(J47),ISBLANK(K47)),AND(I47="",J47="",K47=""))),FALSE,IF(I47&gt;0,H47&gt;NIHSalaryCap,H47&gt;(NIHSalaryCap*8.5)/12))</formula>
    </cfRule>
  </conditionalFormatting>
  <conditionalFormatting sqref="H48">
    <cfRule type="expression" dxfId="42" priority="12">
      <formula>IF(OR($N$5&lt;&gt;"Federal - NIH",OR(AND(ISBLANK(I48),ISBLANK(J48),ISBLANK(K48)),AND(I48="",J48="",K48=""))),FALSE,IF(I48&gt;0,H48&gt;NIHSalaryCap,H48&gt;(NIHSalaryCap*8.5)/12))</formula>
    </cfRule>
  </conditionalFormatting>
  <conditionalFormatting sqref="H49">
    <cfRule type="expression" dxfId="41" priority="11">
      <formula>IF(OR($N$5&lt;&gt;"Federal - NIH",OR(AND(ISBLANK(I49),ISBLANK(J49),ISBLANK(K49)),AND(I49="",J49="",K49=""))),FALSE,IF(I49&gt;0,H49&gt;NIHSalaryCap,H49&gt;(NIHSalaryCap*8.5)/12))</formula>
    </cfRule>
  </conditionalFormatting>
  <conditionalFormatting sqref="H50">
    <cfRule type="expression" dxfId="40" priority="10">
      <formula>IF(OR($N$5&lt;&gt;"Federal - NIH",OR(AND(ISBLANK(I50),ISBLANK(J50),ISBLANK(K50)),AND(I50="",J50="",K50=""))),FALSE,IF(I50&gt;0,H50&gt;NIHSalaryCap,H50&gt;(NIHSalaryCap*8.5)/12))</formula>
    </cfRule>
  </conditionalFormatting>
  <conditionalFormatting sqref="H51">
    <cfRule type="expression" dxfId="39" priority="9">
      <formula>IF(OR($N$5&lt;&gt;"Federal - NIH",OR(AND(ISBLANK(I51),ISBLANK(J51),ISBLANK(K51)),AND(I51="",J51="",K51=""))),FALSE,IF(I51&gt;0,H51&gt;NIHSalaryCap,H51&gt;(NIHSalaryCap*8.5)/12))</formula>
    </cfRule>
  </conditionalFormatting>
  <conditionalFormatting sqref="H52">
    <cfRule type="expression" dxfId="38" priority="8">
      <formula>IF(OR($N$5&lt;&gt;"Federal - NIH",OR(AND(ISBLANK(I52),ISBLANK(J52),ISBLANK(K52)),AND(I52="",J52="",K52=""))),FALSE,IF(I52&gt;0,H52&gt;NIHSalaryCap,H52&gt;(NIHSalaryCap*8.5)/12))</formula>
    </cfRule>
  </conditionalFormatting>
  <conditionalFormatting sqref="H53">
    <cfRule type="expression" dxfId="37" priority="7">
      <formula>IF(OR($N$5&lt;&gt;"Federal - NIH",OR(AND(ISBLANK(I53),ISBLANK(J53),ISBLANK(K53)),AND(I53="",J53="",K53=""))),FALSE,IF(I53&gt;0,H53&gt;NIHSalaryCap,H53&gt;(NIHSalaryCap*8.5)/12))</formula>
    </cfRule>
  </conditionalFormatting>
  <conditionalFormatting sqref="H54">
    <cfRule type="expression" dxfId="36" priority="6">
      <formula>IF(OR($N$5&lt;&gt;"Federal - NIH",OR(AND(ISBLANK(I54),ISBLANK(J54),ISBLANK(K54)),AND(I54="",J54="",K54=""))),FALSE,IF(I54&gt;0,H54&gt;NIHSalaryCap,H54&gt;(NIHSalaryCap*8.5)/12))</formula>
    </cfRule>
  </conditionalFormatting>
  <conditionalFormatting sqref="H55">
    <cfRule type="expression" dxfId="35" priority="5">
      <formula>IF(OR($N$5&lt;&gt;"Federal - NIH",OR(AND(ISBLANK(I55),ISBLANK(J55),ISBLANK(K55)),AND(I55="",J55="",K55=""))),FALSE,IF(I55&gt;0,H55&gt;NIHSalaryCap,H55&gt;(NIHSalaryCap*8.5)/12))</formula>
    </cfRule>
  </conditionalFormatting>
  <conditionalFormatting sqref="H56">
    <cfRule type="expression" dxfId="34" priority="4">
      <formula>IF(OR($N$5&lt;&gt;"Federal - NIH",OR(AND(ISBLANK(I56),ISBLANK(J56),ISBLANK(K56)),AND(I56="",J56="",K56=""))),FALSE,IF(I56&gt;0,H56&gt;NIHSalaryCap,H56&gt;(NIHSalaryCap*8.5)/12))</formula>
    </cfRule>
  </conditionalFormatting>
  <conditionalFormatting sqref="H57">
    <cfRule type="expression" dxfId="33" priority="3">
      <formula>IF(OR($N$5&lt;&gt;"Federal - NIH",OR(AND(ISBLANK(I57),ISBLANK(J57),ISBLANK(K57)),AND(I57="",J57="",K57=""))),FALSE,IF(I57&gt;0,H57&gt;NIHSalaryCap,H57&gt;(NIHSalaryCap*8.5)/12))</formula>
    </cfRule>
  </conditionalFormatting>
  <conditionalFormatting sqref="H58">
    <cfRule type="expression" dxfId="32" priority="2">
      <formula>IF(OR($N$5&lt;&gt;"Federal - NIH",OR(AND(ISBLANK(I58),ISBLANK(J58),ISBLANK(K58)),AND(I58="",J58="",K58=""))),FALSE,IF(I58&gt;0,H58&gt;NIHSalaryCap,H58&gt;(NIHSalaryCap*8.5)/12))</formula>
    </cfRule>
  </conditionalFormatting>
  <conditionalFormatting sqref="Y49">
    <cfRule type="expression" dxfId="31" priority="1">
      <formula>IF(OR($N$5&lt;&gt;"Federal - NIH",OR(AND(ISBLANK(I49),ISBLANK(J49),ISBLANK(K49)),AND(I49="",J49="",K49=""))),FALSE,IF(I49&gt;0,H49&gt;NIHSalaryCap,H49&gt;(NIHSalaryCap*8.5)/12))</formula>
    </cfRule>
  </conditionalFormatting>
  <dataValidations count="14">
    <dataValidation type="list" allowBlank="1" showInputMessage="1" showErrorMessage="1" sqref="N5 H23" xr:uid="{00000000-0002-0000-0100-000000000000}">
      <formula1>Grad</formula1>
    </dataValidation>
    <dataValidation type="list" allowBlank="1" showInputMessage="1" showErrorMessage="1" sqref="B7:B14 B44:B58" xr:uid="{00000000-0002-0000-0100-000001000000}">
      <formula1>Prefix</formula1>
    </dataValidation>
    <dataValidation type="list" allowBlank="1" showInputMessage="1" showErrorMessage="1" sqref="G7:G14 G44:G58" xr:uid="{00000000-0002-0000-0100-000002000000}">
      <formula1>Roles</formula1>
    </dataValidation>
    <dataValidation type="list" allowBlank="1" showInputMessage="1" showErrorMessage="1" sqref="J5" xr:uid="{00000000-0002-0000-0100-000003000000}">
      <formula1>Duration</formula1>
    </dataValidation>
    <dataValidation type="list" allowBlank="1" showInputMessage="1" showErrorMessage="1" sqref="O5" xr:uid="{00000000-0002-0000-0100-000004000000}">
      <formula1>NIHSalaryCap</formula1>
    </dataValidation>
    <dataValidation type="custom" errorStyle="information" showInputMessage="1" showErrorMessage="1" errorTitle="Salary Cap Error" error="Base salary should remain under $185,100 for calandar appointments and $131,112 for academic appointments." sqref="H7" xr:uid="{00000000-0002-0000-0100-000005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I7" xr:uid="{00000000-0002-0000-0100-000006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J7" xr:uid="{00000000-0002-0000-0100-000007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K7" xr:uid="{00000000-0002-0000-0100-000008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H8:H14 H44:H58" xr:uid="{00000000-0002-0000-0100-000009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 sqref="J8:J14 J44:J58" xr:uid="{00000000-0002-0000-0100-00000A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 sqref="I8:I14 I44:I58" xr:uid="{00000000-0002-0000-0100-00000B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 sqref="K8:K14 K44:K57" xr:uid="{00000000-0002-0000-0100-00000C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nts." sqref="K58" xr:uid="{00000000-0002-0000-0100-00000F000000}">
      <formula1>IF(AND($N$5="Federal - NIH",OR(NOT(ISBLANK(I58)),NOT(ISBLANK(J58)),NOT(ISBLANK(K58)),I58&lt;&gt;"",J58&lt;&gt;"",K58&lt;&gt;"")),IF(I58&gt;0,H58&lt;=NIHSalaryCap,H58&lt;=(NIHSalaryCap*8.5)/12),TRUE)</formula1>
    </dataValidation>
  </dataValidations>
  <printOptions horizontalCentered="1"/>
  <pageMargins left="0.25" right="0.25" top="0.5" bottom="0.5" header="0.5" footer="0.5"/>
  <pageSetup scale="91" orientation="landscape" r:id="rId1"/>
  <headerFooter alignWithMargins="0">
    <oddFooter>&amp;RPrinted On: &amp;D &amp;T</oddFooter>
  </headerFooter>
  <extLst>
    <ext xmlns:x14="http://schemas.microsoft.com/office/spreadsheetml/2009/9/main" uri="{78C0D931-6437-407d-A8EE-F0AAD7539E65}">
      <x14:conditionalFormattings>
        <x14:conditionalFormatting xmlns:xm="http://schemas.microsoft.com/office/excel/2006/main">
          <x14:cfRule type="expression" priority="25" id="{9C49EFE4-FDD0-4336-B8EE-E96302A2AEFD}">
            <xm:f>IF(N5="Federal - NIH",SUM('Non-personnel'!$H$41,$N$23)/IF(OR(ISBLANK($B$23),NOT(ISNUMBER($B$23))),1,$B$23)&gt;NIHGradLimit)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1">
        <x14:dataValidation type="custom" errorStyle="information" showInputMessage="1" showErrorMessage="1" errorTitle="Grad Rate Error" error="Graduate Student Compensation potentially exceeds NIH cap of $43,692/student.  Please note: NIH Graduate Student Componsation Cap equals Salary + Fringe Benefits + any Tuition Needs requested." xr:uid="{00000000-0002-0000-0100-00001A000000}">
          <x14:formula1>
            <xm:f>OR(AND(N5="Federal - NIH",SUM('Non-personnel'!$H$41,$N$23)/IF(OR(ISBLANK($B$23),NOT(ISNUMBER($B$23))),1,$B$23)&lt;=NIHGradLimit),N5&lt;&gt;"Federal - NIH")</xm:f>
          </x14:formula1>
          <xm:sqref>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59"/>
  <sheetViews>
    <sheetView zoomScaleNormal="100" workbookViewId="0">
      <selection sqref="A1:N1"/>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7" width="9.140625" style="336"/>
  </cols>
  <sheetData>
    <row r="1" spans="1:27" ht="18" x14ac:dyDescent="0.25">
      <c r="A1" s="561" t="s">
        <v>507</v>
      </c>
      <c r="B1" s="561"/>
      <c r="C1" s="561"/>
      <c r="D1" s="561"/>
      <c r="E1" s="561"/>
      <c r="F1" s="561"/>
      <c r="G1" s="561"/>
      <c r="H1" s="561"/>
      <c r="I1" s="561"/>
      <c r="J1" s="561"/>
      <c r="K1" s="561"/>
      <c r="L1" s="561"/>
      <c r="M1" s="561"/>
      <c r="N1" s="561"/>
    </row>
    <row r="2" spans="1:27" x14ac:dyDescent="0.2">
      <c r="A2" s="1"/>
      <c r="B2" s="1"/>
      <c r="C2" s="1"/>
      <c r="D2" s="1"/>
      <c r="E2" s="1"/>
      <c r="F2" s="1"/>
      <c r="G2" s="1"/>
      <c r="H2" s="1"/>
      <c r="I2" s="1"/>
      <c r="J2" s="1"/>
      <c r="K2" s="1"/>
      <c r="L2" s="1"/>
      <c r="M2" s="1"/>
      <c r="N2" s="1"/>
    </row>
    <row r="3" spans="1:27" ht="18" x14ac:dyDescent="0.25">
      <c r="A3" s="561" t="s">
        <v>78</v>
      </c>
      <c r="B3" s="561"/>
      <c r="C3" s="561"/>
      <c r="D3" s="561"/>
      <c r="E3" s="561"/>
      <c r="F3" s="561"/>
      <c r="G3" s="561"/>
      <c r="H3" s="561"/>
      <c r="I3" s="561"/>
      <c r="J3" s="561"/>
      <c r="K3" s="561"/>
      <c r="L3" s="561"/>
      <c r="M3" s="561"/>
      <c r="N3" s="561"/>
    </row>
    <row r="4" spans="1:27" ht="18" x14ac:dyDescent="0.25">
      <c r="A4" s="63"/>
      <c r="B4" s="63"/>
      <c r="C4" s="63"/>
      <c r="D4" s="63"/>
      <c r="E4" s="63"/>
      <c r="F4" s="63"/>
      <c r="G4" s="63"/>
      <c r="H4" s="63"/>
      <c r="I4" s="63"/>
      <c r="J4" s="63"/>
      <c r="K4" s="63"/>
      <c r="L4" s="63"/>
      <c r="M4" s="63"/>
      <c r="N4" s="63"/>
    </row>
    <row r="5" spans="1:27" x14ac:dyDescent="0.2">
      <c r="A5" s="2"/>
      <c r="B5" s="562" t="s">
        <v>5</v>
      </c>
      <c r="C5" s="562"/>
      <c r="D5" s="74"/>
      <c r="E5" s="67"/>
      <c r="F5" s="72"/>
      <c r="G5" s="72"/>
      <c r="H5" s="2"/>
      <c r="I5" s="2"/>
      <c r="J5" s="2"/>
      <c r="K5" s="2"/>
      <c r="L5" s="2"/>
      <c r="M5" s="2"/>
      <c r="N5" s="347" t="str">
        <f>'Personnel Yr 1'!$N$5</f>
        <v>Fnd/Prof Soc</v>
      </c>
      <c r="O5" s="9"/>
    </row>
    <row r="6" spans="1:27" ht="26.25" thickBot="1" x14ac:dyDescent="0.25">
      <c r="A6" s="2"/>
      <c r="B6" s="4"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S6" s="347"/>
      <c r="T6" s="335" t="s">
        <v>66</v>
      </c>
      <c r="U6" s="335" t="s">
        <v>67</v>
      </c>
      <c r="V6" s="335" t="s">
        <v>68</v>
      </c>
      <c r="Y6" s="336" t="s">
        <v>464</v>
      </c>
      <c r="Z6" s="336" t="s">
        <v>465</v>
      </c>
    </row>
    <row r="7" spans="1:27" x14ac:dyDescent="0.2">
      <c r="A7" s="5">
        <v>1</v>
      </c>
      <c r="B7" s="75" t="str">
        <f>IF('Personnel Yr 1'!$J$5&gt;1,IF(NOT(OR(ISBLANK('Personnel Yr 1'!B7),'Personnel Yr 1'!B7="")),'Personnel Yr 1'!B7,""),"")</f>
        <v/>
      </c>
      <c r="C7" s="17" t="str">
        <f>IF('Personnel Yr 1'!$J$5&gt;1,IF(ISBLANK('Personnel Yr 1'!C7),"",'Personnel Yr 1'!C7),"")</f>
        <v/>
      </c>
      <c r="D7" s="17" t="str">
        <f>IF('Personnel Yr 1'!$J$5&gt;1,IF(ISBLANK('Personnel Yr 1'!D7),"",'Personnel Yr 1'!D7),"")</f>
        <v xml:space="preserve"> </v>
      </c>
      <c r="E7" s="17" t="str">
        <f>IF('Personnel Yr 1'!$J$5&gt;1,IF(ISBLANK('Personnel Yr 1'!E7),"",'Personnel Yr 1'!E7),"")</f>
        <v/>
      </c>
      <c r="F7" s="17" t="str">
        <f>IF('Personnel Yr 1'!$J$5&gt;1,IF(ISBLANK('Personnel Yr 1'!F7),"",'Personnel Yr 1'!F7),"")</f>
        <v/>
      </c>
      <c r="G7" s="17" t="str">
        <f>IF('Personnel Yr 1'!$J$5&gt;1,IF(ISBLANK('Personnel Yr 1'!G7),"",'Personnel Yr 1'!G7),"")</f>
        <v/>
      </c>
      <c r="H7" s="177" t="str">
        <f>IF('Personnel Yr 1'!$J$5&gt;1,IF(NOT(ISBLANK('Personnel Yr 1'!H7)),(('Personnel Yr 1'!H7*'Personnel Yr 1'!$D$5)+'Personnel Yr 1'!H7),""),"")</f>
        <v/>
      </c>
      <c r="I7" s="17" t="str">
        <f>IF('Personnel Yr 1'!$J$5&gt;1,IF(AND(OR(ISBLANK($H7),$H7=""),ISBLANK('Personnel Yr 1'!I7)),"",'Personnel Yr 1'!I7),"")</f>
        <v/>
      </c>
      <c r="J7" s="17" t="str">
        <f>IF('Personnel Yr 1'!$J$5&gt;1,IF(AND(OR(ISBLANK($H7),$H7=""),ISBLANK('Personnel Yr 1'!J7)),"",'Personnel Yr 1'!J7),"")</f>
        <v/>
      </c>
      <c r="K7" s="17" t="str">
        <f>IF('Personnel Yr 1'!$J$5&gt;1,IF(AND(OR(ISBLANK($H7),$H7=""),ISBLANK('Personnel Yr 1'!K7)),"",'Personnel Yr 1'!K7),"")</f>
        <v/>
      </c>
      <c r="L7" s="45" t="str">
        <f>IF('Personnel Yr 1'!$J$5&gt;1,IF(NOT(OR(ISBLANK(H7),H7="")),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1'!$J$5&gt;1,IF(OR(ISBLANK(L7),L7=""),"",ROUND(SUM(T7:V7),2)),"")</f>
        <v/>
      </c>
      <c r="N7" s="46" t="str">
        <f>IF('Personnel Yr 1'!$J$5&gt;1,IF(OR(ISBLANK(M7),M7=""),"",ROUND(SUM(L7:M7),2)),"")</f>
        <v/>
      </c>
      <c r="O7" s="158"/>
      <c r="P7" s="347" t="str">
        <f>IF('Personnel Yr 1'!$J$5&gt;1,IF(NOT(OR(ISBLANK(I7),I7="")),(H7/12)*I7,""),0)</f>
        <v/>
      </c>
      <c r="Q7" s="347" t="str">
        <f>IF('Personnel Yr 1'!$J$5&gt;1,IF(NOT(OR(ISBLANK(J7),J7="")),(H7/8.5)*J7,""),0)</f>
        <v/>
      </c>
      <c r="R7" s="347" t="str">
        <f>IF('Personnel Yr 1'!$J$5&gt;1,IF(NOT(OR(ISBLANK(K7),K7="")),(H7/8.5)*K7,""),0)</f>
        <v/>
      </c>
      <c r="S7" s="347"/>
      <c r="T7" s="347">
        <f>IF(OR(ISBLANK(P7),P7=""),0,P7*LOOKUP("Full",Ben,Per))</f>
        <v>0</v>
      </c>
      <c r="U7" s="347">
        <f>IF(OR(ISBLANK(Q7),Q7=""),0,Q7*LOOKUP("Full",Ben,Per))</f>
        <v>0</v>
      </c>
      <c r="V7" s="347">
        <f>IF(OR(ISBLANK(R7),R7=""),0,R7*LOOKUP("Summer",Ben,Per))</f>
        <v>0</v>
      </c>
      <c r="Y7" s="336" t="b">
        <f>IF('Personnel Yr 1'!$J$5&gt;1,IF(OR($N$5&lt;&gt;"Federal - NIH",OR(AND(ISBLANK(I7),ISBLANK(J7),ISBLANK(K7)),AND(I7="",J7="",K7=""))),FALSE,IF(I7&gt;0,H7&gt;NIHSalaryCap,H7&gt;(NIHSalaryCap*8.5)/12)),FALSE)</f>
        <v>0</v>
      </c>
      <c r="Z7" s="336" t="b">
        <f>IF('Personnel Yr 1'!$J$5&gt;1,IF(AND($N$5="Federal - NIH",OR(NOT(ISBLANK(I7)),NOT(ISBLANK(J7)),NOT(ISBLANK(K7)),I7&lt;&gt;"",J7&lt;&gt;"",K7&lt;&gt;"")),IF(I7&gt;0,H7&lt;=NIHSalaryCap,H7&lt;=(NIHSalaryCap*8.5)/12),TRUE),TRUE)</f>
        <v>1</v>
      </c>
      <c r="AA7" s="336" t="s">
        <v>466</v>
      </c>
    </row>
    <row r="8" spans="1:27" x14ac:dyDescent="0.2">
      <c r="A8" s="5">
        <v>2</v>
      </c>
      <c r="B8" s="6" t="str">
        <f>IF('Personnel Yr 1'!$J$5&gt;1,IF(NOT(OR(ISBLANK('Personnel Yr 1'!B8),'Personnel Yr 1'!B8="")),'Personnel Yr 1'!B8,""),"")</f>
        <v/>
      </c>
      <c r="C8" s="22" t="str">
        <f>IF('Personnel Yr 1'!$J$5&gt;1,IF(ISBLANK('Personnel Yr 1'!C8),"",'Personnel Yr 1'!C8),"")</f>
        <v/>
      </c>
      <c r="D8" s="22" t="str">
        <f>IF('Personnel Yr 1'!$J$5&gt;1,IF(ISBLANK('Personnel Yr 1'!D8),"",'Personnel Yr 1'!D8),"")</f>
        <v/>
      </c>
      <c r="E8" s="22" t="str">
        <f>IF('Personnel Yr 1'!$J$5&gt;1,IF(ISBLANK('Personnel Yr 1'!E8),"",'Personnel Yr 1'!E8),"")</f>
        <v/>
      </c>
      <c r="F8" s="22" t="str">
        <f>IF('Personnel Yr 1'!$J$5&gt;1,IF(ISBLANK('Personnel Yr 1'!F8),"",'Personnel Yr 1'!F8),"")</f>
        <v/>
      </c>
      <c r="G8" s="22" t="str">
        <f>IF('Personnel Yr 1'!$J$5&gt;1,IF(ISBLANK('Personnel Yr 1'!G8),"",'Personnel Yr 1'!G8),"")</f>
        <v/>
      </c>
      <c r="H8" s="42" t="str">
        <f>IF('Personnel Yr 1'!$J$5&gt;1,IF(NOT(ISBLANK('Personnel Yr 1'!H8)),(('Personnel Yr 1'!H8*'Personnel Yr 1'!$D$5)+'Personnel Yr 1'!H8),""),"")</f>
        <v/>
      </c>
      <c r="I8" s="22" t="str">
        <f>IF('Personnel Yr 1'!$J$5&gt;1,IF(AND(OR(ISBLANK($H8),$H8=""),ISBLANK('Personnel Yr 1'!I8)),"",'Personnel Yr 1'!I8),"")</f>
        <v/>
      </c>
      <c r="J8" s="22" t="str">
        <f>IF('Personnel Yr 1'!$J$5&gt;1,IF(AND(OR(ISBLANK($H8),$H8=""),ISBLANK('Personnel Yr 1'!J8)),"",'Personnel Yr 1'!J8),"")</f>
        <v/>
      </c>
      <c r="K8" s="22" t="str">
        <f>IF('Personnel Yr 1'!$J$5&gt;1,IF(AND(OR(ISBLANK($H8),$H8=""),ISBLANK('Personnel Yr 1'!K8)),"",'Personnel Yr 1'!K8),"")</f>
        <v/>
      </c>
      <c r="L8" s="44" t="str">
        <f>IF('Personnel Yr 1'!$J$5&gt;1,IF(NOT(OR(ISBLANK(H8),H8="")),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1'!$J$5&gt;1,IF(OR(ISBLANK(L8),L8=""),"",ROUND(SUM(T8:V8),2)),"")</f>
        <v/>
      </c>
      <c r="N8" s="51" t="str">
        <f>IF('Personnel Yr 1'!$J$5&gt;1,IF(OR(ISBLANK(M8),M8=""),"",ROUND(SUM(L8:M8),2)),"")</f>
        <v/>
      </c>
      <c r="O8" s="159"/>
      <c r="P8" s="347" t="str">
        <f>IF('Personnel Yr 1'!$J$5&gt;1,IF(NOT(OR(ISBLANK(I8),I8="")),(H8/12)*I8,""),0)</f>
        <v/>
      </c>
      <c r="Q8" s="347" t="str">
        <f>IF('Personnel Yr 1'!$J$5&gt;1,IF(NOT(OR(ISBLANK(J8),J8="")),(H8/8.5)*J8,""),0)</f>
        <v/>
      </c>
      <c r="R8" s="347" t="str">
        <f>IF('Personnel Yr 1'!$J$5&gt;1,IF(NOT(OR(ISBLANK(K8),K8="")),(H8/8.5)*K8,""),0)</f>
        <v/>
      </c>
      <c r="S8" s="347"/>
      <c r="T8" s="347">
        <f t="shared" ref="T8:U14" si="0">IF(OR(ISBLANK(P8),P8=""),0,P8*LOOKUP("Full",Ben,Per))</f>
        <v>0</v>
      </c>
      <c r="U8" s="347">
        <f t="shared" si="0"/>
        <v>0</v>
      </c>
      <c r="V8" s="347">
        <f t="shared" ref="V8:V14" si="1">IF(OR(ISBLANK(R8),R8=""),0,R8*LOOKUP("Summer",Ben,Per))</f>
        <v>0</v>
      </c>
      <c r="Y8" s="336" t="b">
        <f>IF('Personnel Yr 1'!$J$5&gt;1,IF(OR($N$5&lt;&gt;"Federal - NIH",OR(AND(ISBLANK(I8),ISBLANK(J8),ISBLANK(K8)),AND(I8="",J8="",K8=""))),FALSE,IF(I8&gt;0,H8&gt;NIHSalaryCap,H8&gt;(NIHSalaryCap*8.5)/12)),FALSE)</f>
        <v>0</v>
      </c>
      <c r="Z8" s="336" t="b">
        <f>IF('Personnel Yr 1'!$J$5&gt;1,IF(AND($N$5="Federal - NIH",OR(NOT(ISBLANK(I8)),NOT(ISBLANK(J8)),NOT(ISBLANK(K8)),I8&lt;&gt;"",J8&lt;&gt;"",K8&lt;&gt;"")),IF(I8&gt;0,H8&lt;=NIHSalaryCap,H8&lt;=(NIHSalaryCap*8.5)/12),TRUE),TRUE)</f>
        <v>1</v>
      </c>
      <c r="AA8" s="336" t="s">
        <v>466</v>
      </c>
    </row>
    <row r="9" spans="1:27" x14ac:dyDescent="0.2">
      <c r="A9" s="5">
        <v>3</v>
      </c>
      <c r="B9" s="6" t="str">
        <f>IF('Personnel Yr 1'!$J$5&gt;1,IF(NOT(OR(ISBLANK('Personnel Yr 1'!B9),'Personnel Yr 1'!B9="")),'Personnel Yr 1'!B9,""),"")</f>
        <v/>
      </c>
      <c r="C9" s="22" t="str">
        <f>IF('Personnel Yr 1'!$J$5&gt;1,IF(ISBLANK('Personnel Yr 1'!C9),"",'Personnel Yr 1'!C9),"")</f>
        <v/>
      </c>
      <c r="D9" s="22" t="str">
        <f>IF('Personnel Yr 1'!$J$5&gt;1,IF(ISBLANK('Personnel Yr 1'!D9),"",'Personnel Yr 1'!D9),"")</f>
        <v/>
      </c>
      <c r="E9" s="22" t="str">
        <f>IF('Personnel Yr 1'!$J$5&gt;1,IF(ISBLANK('Personnel Yr 1'!E9),"",'Personnel Yr 1'!E9),"")</f>
        <v/>
      </c>
      <c r="F9" s="22" t="str">
        <f>IF('Personnel Yr 1'!$J$5&gt;1,IF(ISBLANK('Personnel Yr 1'!F9),"",'Personnel Yr 1'!F9),"")</f>
        <v/>
      </c>
      <c r="G9" s="22" t="str">
        <f>IF('Personnel Yr 1'!$J$5&gt;1,IF(ISBLANK('Personnel Yr 1'!G9),"",'Personnel Yr 1'!G9),"")</f>
        <v/>
      </c>
      <c r="H9" s="42" t="str">
        <f>IF('Personnel Yr 1'!$J$5&gt;1,IF(NOT(ISBLANK('Personnel Yr 1'!H9)),(('Personnel Yr 1'!H9*'Personnel Yr 1'!$D$5)+'Personnel Yr 1'!H9),""),"")</f>
        <v/>
      </c>
      <c r="I9" s="22" t="str">
        <f>IF('Personnel Yr 1'!$J$5&gt;1,IF(AND(OR(ISBLANK($H9),$H9=""),ISBLANK('Personnel Yr 1'!I9)),"",'Personnel Yr 1'!I9),"")</f>
        <v/>
      </c>
      <c r="J9" s="22" t="str">
        <f>IF('Personnel Yr 1'!$J$5&gt;1,IF(AND(OR(ISBLANK($H9),$H9=""),ISBLANK('Personnel Yr 1'!J9)),"",'Personnel Yr 1'!J9),"")</f>
        <v/>
      </c>
      <c r="K9" s="22" t="str">
        <f>IF('Personnel Yr 1'!$J$5&gt;1,IF(AND(OR(ISBLANK($H9),$H9=""),ISBLANK('Personnel Yr 1'!K9)),"",'Personnel Yr 1'!K9),"")</f>
        <v/>
      </c>
      <c r="L9" s="44" t="str">
        <f>IF('Personnel Yr 1'!$J$5&gt;1,IF(NOT(OR(ISBLANK(H9),H9="")),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1'!$J$5&gt;1,IF(OR(ISBLANK(L9),L9=""),"",ROUND(SUM(T9:V9),2)),"")</f>
        <v/>
      </c>
      <c r="N9" s="51" t="str">
        <f>IF('Personnel Yr 1'!$J$5&gt;1,IF(OR(ISBLANK(M9),M9=""),"",ROUND(SUM(L9:M9),2)),"")</f>
        <v/>
      </c>
      <c r="O9" s="157"/>
      <c r="P9" s="347" t="str">
        <f>IF('Personnel Yr 1'!$J$5&gt;1,IF(NOT(OR(ISBLANK(I9),I9="")),(H9/12)*I9,""),0)</f>
        <v/>
      </c>
      <c r="Q9" s="347" t="str">
        <f>IF('Personnel Yr 1'!$J$5&gt;1,IF(NOT(OR(ISBLANK(J9),J9="")),(H9/8.5)*J9,""),0)</f>
        <v/>
      </c>
      <c r="R9" s="347" t="str">
        <f>IF('Personnel Yr 1'!$J$5&gt;1,IF(NOT(OR(ISBLANK(K9),K9="")),(H9/8.5)*K9,""),0)</f>
        <v/>
      </c>
      <c r="S9" s="347"/>
      <c r="T9" s="347">
        <f t="shared" si="0"/>
        <v>0</v>
      </c>
      <c r="U9" s="347">
        <f t="shared" si="0"/>
        <v>0</v>
      </c>
      <c r="V9" s="347">
        <f t="shared" si="1"/>
        <v>0</v>
      </c>
      <c r="Y9" s="336" t="b">
        <f>IF('Personnel Yr 1'!$J$5&gt;1,IF(OR($N$5&lt;&gt;"Federal - NIH",OR(AND(ISBLANK(I9),ISBLANK(J9),ISBLANK(K9)),AND(I9="",J9="",K9=""))),FALSE,IF(I9&gt;0,H9&gt;NIHSalaryCap,H9&gt;(NIHSalaryCap*8.5)/12)),FALSE)</f>
        <v>0</v>
      </c>
      <c r="Z9" s="336" t="b">
        <f>IF('Personnel Yr 1'!$J$5&gt;1,IF(AND($N$5="Federal - NIH",OR(NOT(ISBLANK(I9)),NOT(ISBLANK(J9)),NOT(ISBLANK(K9)),I9&lt;&gt;"",J9&lt;&gt;"",K9&lt;&gt;"")),IF(I9&gt;0,H9&lt;=NIHSalaryCap,H9&lt;=(NIHSalaryCap*8.5)/12),TRUE),TRUE)</f>
        <v>1</v>
      </c>
      <c r="AA9" s="336" t="s">
        <v>466</v>
      </c>
    </row>
    <row r="10" spans="1:27" x14ac:dyDescent="0.2">
      <c r="A10" s="5">
        <v>4</v>
      </c>
      <c r="B10" s="6" t="str">
        <f>IF('Personnel Yr 1'!$J$5&gt;1,IF(NOT(OR(ISBLANK('Personnel Yr 1'!B10),'Personnel Yr 1'!B10="")),'Personnel Yr 1'!B10,""),"")</f>
        <v/>
      </c>
      <c r="C10" s="22" t="str">
        <f>IF('Personnel Yr 1'!$J$5&gt;1,IF(ISBLANK('Personnel Yr 1'!C10),"",'Personnel Yr 1'!C10),"")</f>
        <v/>
      </c>
      <c r="D10" s="22" t="str">
        <f>IF('Personnel Yr 1'!$J$5&gt;1,IF(ISBLANK('Personnel Yr 1'!D10),"",'Personnel Yr 1'!D10),"")</f>
        <v/>
      </c>
      <c r="E10" s="22" t="str">
        <f>IF('Personnel Yr 1'!$J$5&gt;1,IF(ISBLANK('Personnel Yr 1'!E10),"",'Personnel Yr 1'!E10),"")</f>
        <v/>
      </c>
      <c r="F10" s="22" t="str">
        <f>IF('Personnel Yr 1'!$J$5&gt;1,IF(ISBLANK('Personnel Yr 1'!F10),"",'Personnel Yr 1'!F10),"")</f>
        <v/>
      </c>
      <c r="G10" s="22" t="str">
        <f>IF('Personnel Yr 1'!$J$5&gt;1,IF(ISBLANK('Personnel Yr 1'!G10),"",'Personnel Yr 1'!G10),"")</f>
        <v/>
      </c>
      <c r="H10" s="42" t="str">
        <f>IF('Personnel Yr 1'!$J$5&gt;1,IF(NOT(ISBLANK('Personnel Yr 1'!H10)),(('Personnel Yr 1'!H10*'Personnel Yr 1'!$D$5)+'Personnel Yr 1'!H10),""),"")</f>
        <v/>
      </c>
      <c r="I10" s="22" t="str">
        <f>IF('Personnel Yr 1'!$J$5&gt;1,IF(AND(OR(ISBLANK($H10),$H10=""),ISBLANK('Personnel Yr 1'!I10)),"",'Personnel Yr 1'!I10),"")</f>
        <v/>
      </c>
      <c r="J10" s="22" t="str">
        <f>IF('Personnel Yr 1'!$J$5&gt;1,IF(AND(OR(ISBLANK($H10),$H10=""),ISBLANK('Personnel Yr 1'!J10)),"",'Personnel Yr 1'!J10),"")</f>
        <v/>
      </c>
      <c r="K10" s="22" t="str">
        <f>IF('Personnel Yr 1'!$J$5&gt;1,IF(AND(OR(ISBLANK($H10),$H10=""),ISBLANK('Personnel Yr 1'!K10)),"",'Personnel Yr 1'!K10),"")</f>
        <v/>
      </c>
      <c r="L10" s="44" t="str">
        <f>IF('Personnel Yr 1'!$J$5&gt;1,IF(NOT(OR(ISBLANK(H10),H10="")),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1'!$J$5&gt;1,IF(OR(ISBLANK(L10),L10=""),"",ROUND(SUM(T10:V10),2)),"")</f>
        <v/>
      </c>
      <c r="N10" s="51" t="str">
        <f>IF('Personnel Yr 1'!$J$5&gt;1,IF(OR(ISBLANK(M10),M10=""),"",ROUND(SUM(L10:M10),2)),"")</f>
        <v/>
      </c>
      <c r="O10" s="160"/>
      <c r="P10" s="347" t="str">
        <f>IF('Personnel Yr 1'!$J$5&gt;1,IF(NOT(OR(ISBLANK(I10),I10="")),(H10/12)*I10,""),0)</f>
        <v/>
      </c>
      <c r="Q10" s="347" t="str">
        <f>IF('Personnel Yr 1'!$J$5&gt;1,IF(NOT(OR(ISBLANK(J10),J10="")),(H10/8.5)*J10,""),0)</f>
        <v/>
      </c>
      <c r="R10" s="347" t="str">
        <f>IF('Personnel Yr 1'!$J$5&gt;1,IF(NOT(OR(ISBLANK(K10),K10="")),(H10/8.5)*K10,""),0)</f>
        <v/>
      </c>
      <c r="S10" s="347"/>
      <c r="T10" s="347">
        <f t="shared" si="0"/>
        <v>0</v>
      </c>
      <c r="U10" s="347">
        <f t="shared" si="0"/>
        <v>0</v>
      </c>
      <c r="V10" s="347">
        <f t="shared" si="1"/>
        <v>0</v>
      </c>
      <c r="Y10" s="336" t="b">
        <f>IF('Personnel Yr 1'!$J$5&gt;1,IF(OR($N$5&lt;&gt;"Federal - NIH",OR(AND(ISBLANK(I10),ISBLANK(J10),ISBLANK(K10)),AND(I10="",J10="",K10=""))),FALSE,IF(I10&gt;0,H10&gt;NIHSalaryCap,H10&gt;(NIHSalaryCap*8.5)/12)),FALSE)</f>
        <v>0</v>
      </c>
      <c r="Z10" s="336" t="b">
        <f>IF('Personnel Yr 1'!$J$5&gt;1,IF(AND($N$5="Federal - NIH",OR(NOT(ISBLANK(I10)),NOT(ISBLANK(J10)),NOT(ISBLANK(K10)),I10&lt;&gt;"",J10&lt;&gt;"",K10&lt;&gt;"")),IF(I10&gt;0,H10&lt;=NIHSalaryCap,H10&lt;=(NIHSalaryCap*8.5)/12),TRUE),TRUE)</f>
        <v>1</v>
      </c>
      <c r="AA10" s="336" t="s">
        <v>466</v>
      </c>
    </row>
    <row r="11" spans="1:27" x14ac:dyDescent="0.2">
      <c r="A11" s="5">
        <v>5</v>
      </c>
      <c r="B11" s="6" t="str">
        <f>IF('Personnel Yr 1'!$J$5&gt;1,IF(NOT(OR(ISBLANK('Personnel Yr 1'!B11),'Personnel Yr 1'!B11="")),'Personnel Yr 1'!B11,""),"")</f>
        <v/>
      </c>
      <c r="C11" s="22" t="str">
        <f>IF('Personnel Yr 1'!$J$5&gt;1,IF(ISBLANK('Personnel Yr 1'!C11),"",'Personnel Yr 1'!C11),"")</f>
        <v/>
      </c>
      <c r="D11" s="22" t="str">
        <f>IF('Personnel Yr 1'!$J$5&gt;1,IF(ISBLANK('Personnel Yr 1'!D11),"",'Personnel Yr 1'!D11),"")</f>
        <v/>
      </c>
      <c r="E11" s="22" t="str">
        <f>IF('Personnel Yr 1'!$J$5&gt;1,IF(ISBLANK('Personnel Yr 1'!E11),"",'Personnel Yr 1'!E11),"")</f>
        <v/>
      </c>
      <c r="F11" s="22" t="str">
        <f>IF('Personnel Yr 1'!$J$5&gt;1,IF(ISBLANK('Personnel Yr 1'!F11),"",'Personnel Yr 1'!F11),"")</f>
        <v/>
      </c>
      <c r="G11" s="22" t="str">
        <f>IF('Personnel Yr 1'!$J$5&gt;1,IF(ISBLANK('Personnel Yr 1'!G11),"",'Personnel Yr 1'!G11),"")</f>
        <v/>
      </c>
      <c r="H11" s="42" t="str">
        <f>IF('Personnel Yr 1'!$J$5&gt;1,IF(NOT(ISBLANK('Personnel Yr 1'!H11)),(('Personnel Yr 1'!H11*'Personnel Yr 1'!$D$5)+'Personnel Yr 1'!H11),""),"")</f>
        <v/>
      </c>
      <c r="I11" s="22" t="str">
        <f>IF('Personnel Yr 1'!$J$5&gt;1,IF(AND(OR(ISBLANK($H11),$H11=""),ISBLANK('Personnel Yr 1'!I11)),"",'Personnel Yr 1'!I11),"")</f>
        <v/>
      </c>
      <c r="J11" s="22" t="str">
        <f>IF('Personnel Yr 1'!$J$5&gt;1,IF(AND(OR(ISBLANK($H11),$H11=""),ISBLANK('Personnel Yr 1'!J11)),"",'Personnel Yr 1'!J11),"")</f>
        <v/>
      </c>
      <c r="K11" s="22" t="str">
        <f>IF('Personnel Yr 1'!$J$5&gt;1,IF(AND(OR(ISBLANK($H11),$H11=""),ISBLANK('Personnel Yr 1'!K11)),"",'Personnel Yr 1'!K11),"")</f>
        <v/>
      </c>
      <c r="L11" s="44" t="str">
        <f>IF('Personnel Yr 1'!$J$5&gt;1,IF(NOT(OR(ISBLANK(H11),H11="")),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1'!$J$5&gt;1,IF(OR(ISBLANK(L11),L11=""),"",ROUND(SUM(T11:V11),2)),"")</f>
        <v/>
      </c>
      <c r="N11" s="51" t="str">
        <f>IF('Personnel Yr 1'!$J$5&gt;1,IF(OR(ISBLANK(M11),M11=""),"",ROUND(SUM(L11:M11),2)),"")</f>
        <v/>
      </c>
      <c r="O11" s="159"/>
      <c r="P11" s="347" t="str">
        <f>IF('Personnel Yr 1'!$J$5&gt;1,IF(NOT(OR(ISBLANK(I11),I11="")),(H11/12)*I11,""),0)</f>
        <v/>
      </c>
      <c r="Q11" s="347" t="str">
        <f>IF('Personnel Yr 1'!$J$5&gt;1,IF(NOT(OR(ISBLANK(J11),J11="")),(H11/8.5)*J11,""),0)</f>
        <v/>
      </c>
      <c r="R11" s="347" t="str">
        <f>IF('Personnel Yr 1'!$J$5&gt;1,IF(NOT(OR(ISBLANK(K11),K11="")),(H11/8.5)*K11,""),0)</f>
        <v/>
      </c>
      <c r="S11" s="347"/>
      <c r="T11" s="347">
        <f t="shared" si="0"/>
        <v>0</v>
      </c>
      <c r="U11" s="347">
        <f t="shared" si="0"/>
        <v>0</v>
      </c>
      <c r="V11" s="347">
        <f t="shared" si="1"/>
        <v>0</v>
      </c>
      <c r="Y11" s="336" t="b">
        <f>IF('Personnel Yr 1'!$J$5&gt;1,IF(OR($N$5&lt;&gt;"Federal - NIH",OR(AND(ISBLANK(I11),ISBLANK(J11),ISBLANK(K11)),AND(I11="",J11="",K11=""))),FALSE,IF(I11&gt;0,H11&gt;NIHSalaryCap,H11&gt;(NIHSalaryCap*8.5)/12)),FALSE)</f>
        <v>0</v>
      </c>
      <c r="Z11" s="336" t="b">
        <f>IF('Personnel Yr 1'!$J$5&gt;1,IF(AND($N$5="Federal - NIH",OR(NOT(ISBLANK(I11)),NOT(ISBLANK(J11)),NOT(ISBLANK(K11)),I11&lt;&gt;"",J11&lt;&gt;"",K11&lt;&gt;"")),IF(I11&gt;0,H11&lt;=NIHSalaryCap,H11&lt;=(NIHSalaryCap*8.5)/12),TRUE),TRUE)</f>
        <v>1</v>
      </c>
      <c r="AA11" s="336" t="s">
        <v>466</v>
      </c>
    </row>
    <row r="12" spans="1:27" x14ac:dyDescent="0.2">
      <c r="A12" s="5">
        <v>6</v>
      </c>
      <c r="B12" s="6" t="str">
        <f>IF('Personnel Yr 1'!$J$5&gt;1,IF(NOT(OR(ISBLANK('Personnel Yr 1'!B12),'Personnel Yr 1'!B12="")),'Personnel Yr 1'!B12,""),"")</f>
        <v/>
      </c>
      <c r="C12" s="22" t="str">
        <f>IF('Personnel Yr 1'!$J$5&gt;1,IF(ISBLANK('Personnel Yr 1'!C12),"",'Personnel Yr 1'!C12),"")</f>
        <v/>
      </c>
      <c r="D12" s="22" t="str">
        <f>IF('Personnel Yr 1'!$J$5&gt;1,IF(ISBLANK('Personnel Yr 1'!D12),"",'Personnel Yr 1'!D12),"")</f>
        <v/>
      </c>
      <c r="E12" s="22" t="str">
        <f>IF('Personnel Yr 1'!$J$5&gt;1,IF(ISBLANK('Personnel Yr 1'!E12),"",'Personnel Yr 1'!E12),"")</f>
        <v/>
      </c>
      <c r="F12" s="22" t="str">
        <f>IF('Personnel Yr 1'!$J$5&gt;1,IF(ISBLANK('Personnel Yr 1'!F12),"",'Personnel Yr 1'!F12),"")</f>
        <v/>
      </c>
      <c r="G12" s="22" t="str">
        <f>IF('Personnel Yr 1'!$J$5&gt;1,IF(ISBLANK('Personnel Yr 1'!G12),"",'Personnel Yr 1'!G12),"")</f>
        <v/>
      </c>
      <c r="H12" s="42" t="str">
        <f>IF('Personnel Yr 1'!$J$5&gt;1,IF(NOT(ISBLANK('Personnel Yr 1'!H12)),(('Personnel Yr 1'!H12*'Personnel Yr 1'!$D$5)+'Personnel Yr 1'!H12),""),"")</f>
        <v/>
      </c>
      <c r="I12" s="22" t="str">
        <f>IF('Personnel Yr 1'!$J$5&gt;1,IF(AND(OR(ISBLANK($H12),$H12=""),ISBLANK('Personnel Yr 1'!I12)),"",'Personnel Yr 1'!I12),"")</f>
        <v/>
      </c>
      <c r="J12" s="22" t="str">
        <f>IF('Personnel Yr 1'!$J$5&gt;1,IF(AND(OR(ISBLANK($H12),$H12=""),ISBLANK('Personnel Yr 1'!J12)),"",'Personnel Yr 1'!J12),"")</f>
        <v/>
      </c>
      <c r="K12" s="22" t="str">
        <f>IF('Personnel Yr 1'!$J$5&gt;1,IF(AND(OR(ISBLANK($H12),$H12=""),ISBLANK('Personnel Yr 1'!K12)),"",'Personnel Yr 1'!K12),"")</f>
        <v/>
      </c>
      <c r="L12" s="44" t="str">
        <f>IF('Personnel Yr 1'!$J$5&gt;1,IF(NOT(OR(ISBLANK(H12),H12="")),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1'!$J$5&gt;1,IF(OR(ISBLANK(L12),L12=""),"",ROUND(SUM(T12:V12),2)),"")</f>
        <v/>
      </c>
      <c r="N12" s="51" t="str">
        <f>IF('Personnel Yr 1'!$J$5&gt;1,IF(OR(ISBLANK(M12),M12=""),"",ROUND(SUM(L12:M12),2)),"")</f>
        <v/>
      </c>
      <c r="O12" s="159"/>
      <c r="P12" s="347" t="str">
        <f>IF('Personnel Yr 1'!$J$5&gt;1,IF(NOT(OR(ISBLANK(I12),I12="")),(H12/12)*I12,""),0)</f>
        <v/>
      </c>
      <c r="Q12" s="347" t="str">
        <f>IF('Personnel Yr 1'!$J$5&gt;1,IF(NOT(OR(ISBLANK(J12),J12="")),(H12/8.5)*J12,""),0)</f>
        <v/>
      </c>
      <c r="R12" s="347" t="str">
        <f>IF('Personnel Yr 1'!$J$5&gt;1,IF(NOT(OR(ISBLANK(K12),K12="")),(H12/8.5)*K12,""),0)</f>
        <v/>
      </c>
      <c r="S12" s="347"/>
      <c r="T12" s="347">
        <f t="shared" si="0"/>
        <v>0</v>
      </c>
      <c r="U12" s="347">
        <f t="shared" si="0"/>
        <v>0</v>
      </c>
      <c r="V12" s="347">
        <f t="shared" si="1"/>
        <v>0</v>
      </c>
      <c r="Y12" s="336" t="b">
        <f>IF('Personnel Yr 1'!$J$5&gt;1,IF(OR($N$5&lt;&gt;"Federal - NIH",OR(AND(ISBLANK(I12),ISBLANK(J12),ISBLANK(K12)),AND(I12="",J12="",K12=""))),FALSE,IF(I12&gt;0,H12&gt;NIHSalaryCap,H12&gt;(NIHSalaryCap*8.5)/12)),FALSE)</f>
        <v>0</v>
      </c>
      <c r="Z12" s="336" t="b">
        <f>IF('Personnel Yr 1'!$J$5&gt;1,IF(AND($N$5="Federal - NIH",OR(NOT(ISBLANK(I12)),NOT(ISBLANK(J12)),NOT(ISBLANK(K12)),I12&lt;&gt;"",J12&lt;&gt;"",K12&lt;&gt;"")),IF(I12&gt;0,H12&lt;=NIHSalaryCap,H12&lt;=(NIHSalaryCap*8.5)/12),TRUE),TRUE)</f>
        <v>1</v>
      </c>
      <c r="AA12" s="336" t="s">
        <v>466</v>
      </c>
    </row>
    <row r="13" spans="1:27" x14ac:dyDescent="0.2">
      <c r="A13" s="5">
        <v>7</v>
      </c>
      <c r="B13" s="6" t="str">
        <f>IF('Personnel Yr 1'!$J$5&gt;1,IF(NOT(OR(ISBLANK('Personnel Yr 1'!B13),'Personnel Yr 1'!B13="")),'Personnel Yr 1'!B13,""),"")</f>
        <v/>
      </c>
      <c r="C13" s="22" t="str">
        <f>IF('Personnel Yr 1'!$J$5&gt;1,IF(ISBLANK('Personnel Yr 1'!C13),"",'Personnel Yr 1'!C13),"")</f>
        <v/>
      </c>
      <c r="D13" s="22" t="str">
        <f>IF('Personnel Yr 1'!$J$5&gt;1,IF(ISBLANK('Personnel Yr 1'!D13),"",'Personnel Yr 1'!D13),"")</f>
        <v/>
      </c>
      <c r="E13" s="22" t="str">
        <f>IF('Personnel Yr 1'!$J$5&gt;1,IF(ISBLANK('Personnel Yr 1'!E13),"",'Personnel Yr 1'!E13),"")</f>
        <v/>
      </c>
      <c r="F13" s="22" t="str">
        <f>IF('Personnel Yr 1'!$J$5&gt;1,IF(ISBLANK('Personnel Yr 1'!F13),"",'Personnel Yr 1'!F13),"")</f>
        <v/>
      </c>
      <c r="G13" s="22" t="str">
        <f>IF('Personnel Yr 1'!$J$5&gt;1,IF(ISBLANK('Personnel Yr 1'!G13),"",'Personnel Yr 1'!G13),"")</f>
        <v/>
      </c>
      <c r="H13" s="42" t="str">
        <f>IF('Personnel Yr 1'!$J$5&gt;1,IF(NOT(ISBLANK('Personnel Yr 1'!H13)),(('Personnel Yr 1'!H13*'Personnel Yr 1'!$D$5)+'Personnel Yr 1'!H13),""),"")</f>
        <v/>
      </c>
      <c r="I13" s="22" t="str">
        <f>IF('Personnel Yr 1'!$J$5&gt;1,IF(AND(OR(ISBLANK($H13),$H13=""),ISBLANK('Personnel Yr 1'!I13)),"",'Personnel Yr 1'!I13),"")</f>
        <v/>
      </c>
      <c r="J13" s="22" t="str">
        <f>IF('Personnel Yr 1'!$J$5&gt;1,IF(AND(OR(ISBLANK($H13),$H13=""),ISBLANK('Personnel Yr 1'!J13)),"",'Personnel Yr 1'!J13),"")</f>
        <v/>
      </c>
      <c r="K13" s="22" t="str">
        <f>IF('Personnel Yr 1'!$J$5&gt;1,IF(AND(OR(ISBLANK($H13),$H13=""),ISBLANK('Personnel Yr 1'!K13)),"",'Personnel Yr 1'!K13),"")</f>
        <v/>
      </c>
      <c r="L13" s="44" t="str">
        <f>IF('Personnel Yr 1'!$J$5&gt;1,IF(NOT(OR(ISBLANK(H13),H13="")),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1'!$J$5&gt;1,IF(OR(ISBLANK(L13),L13=""),"",ROUND(SUM(T13:V13),2)),"")</f>
        <v/>
      </c>
      <c r="N13" s="51" t="str">
        <f>IF('Personnel Yr 1'!$J$5&gt;1,IF(OR(ISBLANK(M13),M13=""),"",ROUND(SUM(L13:M13),2)),"")</f>
        <v/>
      </c>
      <c r="O13" s="157"/>
      <c r="P13" s="347" t="str">
        <f>IF('Personnel Yr 1'!$J$5&gt;1,IF(NOT(OR(ISBLANK(I13),I13="")),(H13/12)*I13,""),0)</f>
        <v/>
      </c>
      <c r="Q13" s="347" t="str">
        <f>IF('Personnel Yr 1'!$J$5&gt;1,IF(NOT(OR(ISBLANK(J13),J13="")),(H13/8.5)*J13,""),0)</f>
        <v/>
      </c>
      <c r="R13" s="347" t="str">
        <f>IF('Personnel Yr 1'!$J$5&gt;1,IF(NOT(OR(ISBLANK(K13),K13="")),(H13/8.5)*K13,""),0)</f>
        <v/>
      </c>
      <c r="S13" s="347"/>
      <c r="T13" s="347">
        <f t="shared" si="0"/>
        <v>0</v>
      </c>
      <c r="U13" s="347">
        <f t="shared" si="0"/>
        <v>0</v>
      </c>
      <c r="V13" s="347">
        <f t="shared" si="1"/>
        <v>0</v>
      </c>
      <c r="Y13" s="336" t="b">
        <f>IF('Personnel Yr 1'!$J$5&gt;1,IF(OR($N$5&lt;&gt;"Federal - NIH",OR(AND(ISBLANK(I13),ISBLANK(J13),ISBLANK(K13)),AND(I13="",J13="",K13=""))),FALSE,IF(I13&gt;0,H13&gt;NIHSalaryCap,H13&gt;(NIHSalaryCap*8.5)/12)),FALSE)</f>
        <v>0</v>
      </c>
      <c r="Z13" s="336" t="b">
        <f>IF('Personnel Yr 1'!$J$5&gt;1,IF(AND($N$5="Federal - NIH",OR(NOT(ISBLANK(I13)),NOT(ISBLANK(J13)),NOT(ISBLANK(K13)),I13&lt;&gt;"",J13&lt;&gt;"",K13&lt;&gt;"")),IF(I13&gt;0,H13&lt;=NIHSalaryCap,H13&lt;=(NIHSalaryCap*8.5)/12),TRUE),TRUE)</f>
        <v>1</v>
      </c>
      <c r="AA13" s="336" t="s">
        <v>466</v>
      </c>
    </row>
    <row r="14" spans="1:27" ht="13.5" thickBot="1" x14ac:dyDescent="0.25">
      <c r="A14" s="5">
        <v>8</v>
      </c>
      <c r="B14" s="7" t="str">
        <f>IF('Personnel Yr 1'!$J$5&gt;1,IF(NOT(OR(ISBLANK('Personnel Yr 1'!B14),'Personnel Yr 1'!B14="")),'Personnel Yr 1'!B14,""),"")</f>
        <v/>
      </c>
      <c r="C14" s="29" t="str">
        <f>IF('Personnel Yr 1'!$J$5&gt;1,IF(ISBLANK('Personnel Yr 1'!C14),"",'Personnel Yr 1'!C14),"")</f>
        <v/>
      </c>
      <c r="D14" s="29" t="str">
        <f>IF('Personnel Yr 1'!$J$5&gt;1,IF(ISBLANK('Personnel Yr 1'!D14),"",'Personnel Yr 1'!D14),"")</f>
        <v/>
      </c>
      <c r="E14" s="29" t="str">
        <f>IF('Personnel Yr 1'!$J$5&gt;1,IF(ISBLANK('Personnel Yr 1'!E14),"",'Personnel Yr 1'!E14),"")</f>
        <v/>
      </c>
      <c r="F14" s="29" t="str">
        <f>IF('Personnel Yr 1'!$J$5&gt;1,IF(ISBLANK('Personnel Yr 1'!F14),"",'Personnel Yr 1'!F14),"")</f>
        <v/>
      </c>
      <c r="G14" s="29" t="str">
        <f>IF('Personnel Yr 1'!$J$5&gt;1,IF(ISBLANK('Personnel Yr 1'!G14),"",'Personnel Yr 1'!G14),"")</f>
        <v/>
      </c>
      <c r="H14" s="43" t="str">
        <f>IF('Personnel Yr 1'!$J$5&gt;1,IF(NOT(ISBLANK('Personnel Yr 1'!H14)),(('Personnel Yr 1'!H14*'Personnel Yr 1'!$D$5)+'Personnel Yr 1'!H14),""),"")</f>
        <v/>
      </c>
      <c r="I14" s="29" t="str">
        <f>IF('Personnel Yr 1'!$J$5&gt;1,IF(AND(OR(ISBLANK($H14),$H14=""),ISBLANK('Personnel Yr 1'!I14)),"",'Personnel Yr 1'!I14),"")</f>
        <v/>
      </c>
      <c r="J14" s="29" t="str">
        <f>IF('Personnel Yr 1'!$J$5&gt;1,IF(AND(OR(ISBLANK($H14),$H14=""),ISBLANK('Personnel Yr 1'!J14)),"",'Personnel Yr 1'!J14),"")</f>
        <v/>
      </c>
      <c r="K14" s="29" t="str">
        <f>IF('Personnel Yr 1'!$J$5&gt;1,IF(AND(OR(ISBLANK($H14),$H14=""),ISBLANK('Personnel Yr 1'!K14)),"",'Personnel Yr 1'!K14),"")</f>
        <v/>
      </c>
      <c r="L14" s="49" t="str">
        <f>IF('Personnel Yr 1'!$J$5&gt;1,IF(NOT(OR(ISBLANK(H14),H14="")),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1'!$J$5&gt;1,IF(OR(ISBLANK(L14),L14=""),"",ROUND(SUM(T14:V14),2)),"")</f>
        <v/>
      </c>
      <c r="N14" s="184" t="str">
        <f>IF('Personnel Yr 1'!$J$5&gt;1,IF(OR(ISBLANK(M14),M14=""),"",ROUND(SUM(L14:M14),2)),"")</f>
        <v/>
      </c>
      <c r="O14" s="161"/>
      <c r="P14" s="347" t="str">
        <f>IF('Personnel Yr 1'!$J$5&gt;1,IF(NOT(OR(ISBLANK(I14),I14="")),(H14/12)*I14,""),0)</f>
        <v/>
      </c>
      <c r="Q14" s="347" t="str">
        <f>IF('Personnel Yr 1'!$J$5&gt;1,IF(NOT(OR(ISBLANK(J14),J14="")),(H14/8.5)*J14,""),0)</f>
        <v/>
      </c>
      <c r="R14" s="347" t="str">
        <f>IF('Personnel Yr 1'!$J$5&gt;1,IF(NOT(OR(ISBLANK(K14),K14="")),(H14/8.5)*K14,""),0)</f>
        <v/>
      </c>
      <c r="S14" s="347"/>
      <c r="T14" s="347">
        <f t="shared" si="0"/>
        <v>0</v>
      </c>
      <c r="U14" s="347">
        <f t="shared" si="0"/>
        <v>0</v>
      </c>
      <c r="V14" s="347">
        <f t="shared" si="1"/>
        <v>0</v>
      </c>
      <c r="Y14" s="336" t="b">
        <f>IF('Personnel Yr 1'!$J$5&gt;1,IF(OR($N$5&lt;&gt;"Federal - NIH",OR(AND(ISBLANK(I14),ISBLANK(J14),ISBLANK(K14)),AND(I14="",J14="",K14=""))),FALSE,IF(I14&gt;0,H14&gt;NIHSalaryCap,H14&gt;(NIHSalaryCap*8.5)/12)),FALSE)</f>
        <v>0</v>
      </c>
      <c r="Z14" s="336" t="b">
        <f>IF('Personnel Yr 1'!$J$5&gt;1,IF(AND($N$5="Federal - NIH",OR(NOT(ISBLANK(I14)),NOT(ISBLANK(J14)),NOT(ISBLANK(K14)),I14&lt;&gt;"",J14&lt;&gt;"",K14&lt;&gt;"")),IF(I14&gt;0,H14&lt;=NIHSalaryCap,H14&lt;=(NIHSalaryCap*8.5)/12),TRUE),TRUE)</f>
        <v>1</v>
      </c>
      <c r="AA14" s="336" t="s">
        <v>466</v>
      </c>
    </row>
    <row r="15" spans="1:27" ht="13.5" thickBot="1" x14ac:dyDescent="0.25">
      <c r="A15" s="5">
        <v>9</v>
      </c>
      <c r="B15" s="27">
        <f>B59</f>
        <v>0</v>
      </c>
      <c r="C15" s="563" t="s">
        <v>52</v>
      </c>
      <c r="D15" s="563"/>
      <c r="E15" s="563"/>
      <c r="F15" s="563"/>
      <c r="G15" s="573" t="s">
        <v>63</v>
      </c>
      <c r="H15" s="573"/>
      <c r="I15" s="573"/>
      <c r="J15" s="573"/>
      <c r="K15" s="573"/>
      <c r="L15" s="573"/>
      <c r="M15" s="574"/>
      <c r="N15" s="56">
        <f>N59</f>
        <v>0</v>
      </c>
      <c r="P15" s="336">
        <f>SUM(P7:P14)</f>
        <v>0</v>
      </c>
      <c r="Q15" s="336">
        <f>SUM(Q7:Q14)</f>
        <v>0</v>
      </c>
      <c r="R15" s="336">
        <f>SUM(R7:R14)</f>
        <v>0</v>
      </c>
      <c r="T15" s="347">
        <f>SUM(T7:T14)</f>
        <v>0</v>
      </c>
      <c r="U15" s="347">
        <f>SUM(U7:U14)</f>
        <v>0</v>
      </c>
      <c r="V15" s="347">
        <f>SUM(V7:V14)</f>
        <v>0</v>
      </c>
    </row>
    <row r="16" spans="1:27" ht="13.5" thickBot="1" x14ac:dyDescent="0.25">
      <c r="B16" s="27">
        <f>SUM(ROWS(E7:E14)-COUNTIF(E7:E14,""),B15)</f>
        <v>0</v>
      </c>
      <c r="C16" s="569" t="s">
        <v>51</v>
      </c>
      <c r="D16" s="570"/>
      <c r="E16" s="570"/>
      <c r="F16" s="570"/>
      <c r="G16" s="9"/>
      <c r="H16" s="10"/>
      <c r="I16" s="10"/>
      <c r="J16" s="571" t="s">
        <v>34</v>
      </c>
      <c r="K16" s="571"/>
      <c r="L16" s="571"/>
      <c r="M16" s="572"/>
      <c r="N16" s="48">
        <f>SUM(N7:N15)</f>
        <v>0</v>
      </c>
    </row>
    <row r="17" spans="2:27" x14ac:dyDescent="0.2">
      <c r="B17" s="9"/>
      <c r="C17" s="9"/>
      <c r="D17" s="9"/>
      <c r="E17" s="9"/>
      <c r="F17" s="9"/>
      <c r="G17" s="9"/>
      <c r="H17" s="10"/>
      <c r="I17" s="10"/>
      <c r="J17" s="11"/>
      <c r="K17" s="11"/>
      <c r="L17" s="11"/>
      <c r="M17" s="11"/>
      <c r="N17" s="10"/>
    </row>
    <row r="18" spans="2:27" x14ac:dyDescent="0.2">
      <c r="B18" s="9"/>
      <c r="C18" s="9"/>
      <c r="D18" s="9"/>
      <c r="E18" s="9"/>
      <c r="F18" s="9"/>
      <c r="G18" s="9"/>
      <c r="H18" s="9"/>
      <c r="I18" s="9"/>
      <c r="J18" s="11"/>
      <c r="K18" s="11"/>
      <c r="L18" s="11"/>
      <c r="M18" s="11"/>
      <c r="N18" s="9"/>
    </row>
    <row r="19" spans="2:27" x14ac:dyDescent="0.2">
      <c r="B19" s="575" t="s">
        <v>6</v>
      </c>
      <c r="C19" s="575"/>
      <c r="D19" s="576" t="s">
        <v>96</v>
      </c>
      <c r="E19" s="576"/>
      <c r="F19" s="576"/>
      <c r="G19" s="576"/>
      <c r="H19" s="576"/>
      <c r="I19" s="576"/>
      <c r="J19" s="576"/>
      <c r="K19" s="576"/>
    </row>
    <row r="20" spans="2:27"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7" x14ac:dyDescent="0.2">
      <c r="B21" s="16" t="str">
        <f>IF('Personnel Yr 1'!$J$5&gt;1,IF(OR(ISBLANK('Personnel Yr 1'!B21),'Personnel Yr 1'!B21=""),"",'Personnel Yr 1'!B21),"")</f>
        <v/>
      </c>
      <c r="C21" s="578" t="s">
        <v>8</v>
      </c>
      <c r="D21" s="578"/>
      <c r="E21" s="578"/>
      <c r="F21" s="578"/>
      <c r="G21" s="578"/>
      <c r="H21" s="579"/>
      <c r="I21" s="17" t="str">
        <f>IF('Personnel Yr 1'!$J$5&gt;1,IF(OR(ISBLANK('Personnel Yr 1'!I21),'Personnel Yr 1'!I21=""),"",'Personnel Yr 1'!I21),"")</f>
        <v/>
      </c>
      <c r="J21" s="17" t="str">
        <f>IF('Personnel Yr 1'!$J$5&gt;1,IF(OR(ISBLANK('Personnel Yr 1'!J21),'Personnel Yr 1'!J21=""),"",'Personnel Yr 1'!J21),"")</f>
        <v/>
      </c>
      <c r="K21" s="17" t="str">
        <f>IF('Personnel Yr 1'!$J$5&gt;1,IF(OR(ISBLANK('Personnel Yr 1'!K21),'Personnel Yr 1'!K21=""),"",'Personnel Yr 1'!K21),"")</f>
        <v/>
      </c>
      <c r="L21" s="41" t="str">
        <f>IF('Personnel Yr 1'!$J$5&gt;1,IF(NOT(ISBLANK('Personnel Yr 1'!L21)),(('Personnel Yr 1'!L21*'Personnel Yr 1'!$D$5)+'Personnel Yr 1'!L21),""),"")</f>
        <v/>
      </c>
      <c r="M21" s="45" t="str">
        <f>IF('Personnel Yr 1'!$J$5&gt;1,IF(OR(ISBLANK(L21),L21=""),"",ROUND(L21*LOOKUP("Full",Ben,Per),2)),"")</f>
        <v/>
      </c>
      <c r="N21" s="46" t="str">
        <f>IF('Personnel Yr 1'!$J$5&gt;1,IF(OR(ISBLANK(L21),L21=""),"",ROUND(SUM(L21:M21),2)),"")</f>
        <v/>
      </c>
      <c r="O21" s="267"/>
    </row>
    <row r="22" spans="2:27" x14ac:dyDescent="0.2">
      <c r="B22" s="342" t="s">
        <v>462</v>
      </c>
      <c r="C22" s="580" t="s">
        <v>73</v>
      </c>
      <c r="D22" s="581"/>
      <c r="E22" s="581"/>
      <c r="F22" s="581"/>
      <c r="G22" s="581"/>
      <c r="H22" s="583"/>
      <c r="I22" s="19" t="str">
        <f>IF('Personnel Yr 1'!$J$5&gt;1,IF(OR(ISBLANK('Personnel Yr 1'!I22),'Personnel Yr 1'!I22=""),"",'Personnel Yr 1'!I22),"")</f>
        <v/>
      </c>
      <c r="J22" s="19" t="str">
        <f>IF('Personnel Yr 1'!$J$5&gt;1,IF(OR(ISBLANK('Personnel Yr 1'!J22),'Personnel Yr 1'!J22=""),"",'Personnel Yr 1'!J22),"")</f>
        <v/>
      </c>
      <c r="K22" s="19" t="str">
        <f>IF('Personnel Yr 1'!$J$5&gt;1,IF(OR(ISBLANK('Personnel Yr 1'!K22),'Personnel Yr 1'!K22=""),"",'Personnel Yr 1'!K22),"")</f>
        <v/>
      </c>
      <c r="L22" s="53" t="str">
        <f>IF('Personnel Yr 1'!$J$5&gt;1,IF(NOT(ISBLANK('Personnel Yr 1'!L22)),(('Personnel Yr 1'!L22*'Personnel Yr 1'!$D$5)+'Personnel Yr 1'!L22),""),"")</f>
        <v/>
      </c>
      <c r="M22" s="49" t="str">
        <f>IF('Personnel Yr 1'!$J$5&gt;1,IF(OR(ISBLANK(L22),L22=""),"",ROUND(L22*LOOKUP("Full",Ben,Per),2)),"")</f>
        <v/>
      </c>
      <c r="N22" s="50" t="str">
        <f>IF('Personnel Yr 1'!$J$5&gt;1,IF(OR(ISBLANK(L22),L22=""),"",ROUND(SUM(L22:M22),2)),"")</f>
        <v/>
      </c>
      <c r="O22" s="268"/>
    </row>
    <row r="23" spans="2:27" x14ac:dyDescent="0.2">
      <c r="B23" s="341" t="s">
        <v>463</v>
      </c>
      <c r="C23" s="580" t="s">
        <v>9</v>
      </c>
      <c r="D23" s="581"/>
      <c r="E23" s="581"/>
      <c r="F23" s="581"/>
      <c r="G23" s="429"/>
      <c r="H23" s="472" t="str">
        <f>IF('Personnel Yr 1'!$J$5&gt;1,IF(OR(ISBLANK('Personnel Yr 1'!H23),'Personnel Yr 1'!H23=""),"",'Personnel Yr 1'!H23),"")</f>
        <v>Fnd/Prof Soc</v>
      </c>
      <c r="I23" s="21" t="str">
        <f>IF('Personnel Yr 1'!$J$5&gt;1,IF(OR(ISBLANK('Personnel Yr 1'!I23),'Personnel Yr 1'!I23=""),"",'Personnel Yr 1'!I23),"")</f>
        <v/>
      </c>
      <c r="J23" s="21" t="str">
        <f>IF('Personnel Yr 1'!$J$5&gt;1,IF(OR(ISBLANK('Personnel Yr 1'!J23),'Personnel Yr 1'!J23=""),"",'Personnel Yr 1'!J23),"")</f>
        <v/>
      </c>
      <c r="K23" s="21" t="str">
        <f>IF('Personnel Yr 1'!$J$5&gt;1,IF(OR(ISBLANK('Personnel Yr 1'!K23),'Personnel Yr 1'!K23=""),"",'Personnel Yr 1'!K23),"")</f>
        <v/>
      </c>
      <c r="L23" s="42" t="str">
        <f>IF('Personnel Yr 1'!$J$5&gt;1,IF(NOT(ISBLANK('Personnel Yr 1'!L23)),(('Personnel Yr 1'!L23*'Personnel Yr 1'!$D$5)+'Personnel Yr 1'!L23),""),"")</f>
        <v/>
      </c>
      <c r="M23" s="47" t="str">
        <f>IF('Personnel Yr 1'!$J$5&gt;1,IF(OR(ISBLANK(L23),L23=""),"",ROUND(L23*LOOKUP(H23,Grad,GradR),2)),"")</f>
        <v/>
      </c>
      <c r="N23" s="50" t="str">
        <f>IF('Personnel Yr 1'!$J$5&gt;1,IF(OR(ISBLANK(L23),L23=""),"",ROUND(SUM(L23:M23),2)),"")</f>
        <v/>
      </c>
      <c r="O23" s="268"/>
    </row>
    <row r="24" spans="2:27" x14ac:dyDescent="0.2">
      <c r="B24" s="20" t="str">
        <f>IF('Personnel Yr 1'!$J$5&gt;1,IF(OR(ISBLANK('Personnel Yr 1'!B24),'Personnel Yr 1'!B24=""),"",'Personnel Yr 1'!B24),"")</f>
        <v/>
      </c>
      <c r="C24" s="581" t="s">
        <v>10</v>
      </c>
      <c r="D24" s="581"/>
      <c r="E24" s="581"/>
      <c r="F24" s="581"/>
      <c r="G24" s="581"/>
      <c r="H24" s="582"/>
      <c r="I24" s="22" t="str">
        <f>IF('Personnel Yr 1'!$J$5&gt;1,IF(OR(ISBLANK('Personnel Yr 1'!I24),'Personnel Yr 1'!I24=""),"",'Personnel Yr 1'!I24),"")</f>
        <v/>
      </c>
      <c r="J24" s="22" t="str">
        <f>IF('Personnel Yr 1'!$J$5&gt;1,IF(OR(ISBLANK('Personnel Yr 1'!J24),'Personnel Yr 1'!J24=""),"",'Personnel Yr 1'!J24),"")</f>
        <v/>
      </c>
      <c r="K24" s="22" t="str">
        <f>IF('Personnel Yr 1'!$J$5&gt;1,IF(OR(ISBLANK('Personnel Yr 1'!K24),'Personnel Yr 1'!K24=""),"",'Personnel Yr 1'!K24),"")</f>
        <v/>
      </c>
      <c r="L24" s="54" t="str">
        <f>IF('Personnel Yr 1'!$J$5&gt;1,IF(NOT(ISBLANK('Personnel Yr 1'!L24)),(('Personnel Yr 1'!L24*'Personnel Yr 1'!$D$5)+'Personnel Yr 1'!L24),""),"")</f>
        <v/>
      </c>
      <c r="M24" s="47" t="str">
        <f>IF('Personnel Yr 1'!$J$5&gt;1,IF(OR(ISBLANK(L24),L24=""),"",ROUND(L24*LOOKUP("Temp",Ben,Per),2)),"")</f>
        <v/>
      </c>
      <c r="N24" s="50" t="str">
        <f>IF('Personnel Yr 1'!$J$5&gt;1,IF(OR(ISBLANK(L24),L24=""),"",ROUND(SUM(L24:M24),2)),"")</f>
        <v/>
      </c>
      <c r="O24" s="268"/>
    </row>
    <row r="25" spans="2:27" x14ac:dyDescent="0.2">
      <c r="B25" s="20" t="str">
        <f>IF('Personnel Yr 1'!$J$5&gt;1,IF(OR(ISBLANK('Personnel Yr 1'!B25),'Personnel Yr 1'!B25=""),"",'Personnel Yr 1'!B25),"")</f>
        <v/>
      </c>
      <c r="C25" s="617" t="s">
        <v>504</v>
      </c>
      <c r="D25" s="581"/>
      <c r="E25" s="581"/>
      <c r="F25" s="581"/>
      <c r="G25" s="581"/>
      <c r="H25" s="582"/>
      <c r="I25" s="22" t="str">
        <f>IF('Personnel Yr 1'!$J$5&gt;1,IF(OR(ISBLANK('Personnel Yr 1'!I25),'Personnel Yr 1'!I25=""),"",'Personnel Yr 1'!I25),"")</f>
        <v/>
      </c>
      <c r="J25" s="22" t="str">
        <f>IF('Personnel Yr 1'!$J$5&gt;1,IF(OR(ISBLANK('Personnel Yr 1'!J25),'Personnel Yr 1'!J25=""),"",'Personnel Yr 1'!J25),"")</f>
        <v/>
      </c>
      <c r="K25" s="22" t="str">
        <f>IF('Personnel Yr 1'!$J$5&gt;1,IF(OR(ISBLANK('Personnel Yr 1'!K25),'Personnel Yr 1'!K25=""),"",'Personnel Yr 1'!K25),"")</f>
        <v/>
      </c>
      <c r="L25" s="54" t="str">
        <f>IF('Personnel Yr 1'!$J$5&gt;1,IF(NOT(ISBLANK('Personnel Yr 1'!L25)),(('Personnel Yr 1'!L25*'Personnel Yr 1'!$D$5)+'Personnel Yr 1'!L25),""),"")</f>
        <v/>
      </c>
      <c r="M25" s="47" t="str">
        <f>IF('Personnel Yr 1'!$J$5&gt;1,IF(OR(ISBLANK(L25),L25=""),"",ROUND(L25*LOOKUP("Full",Ben,Per),2)),"")</f>
        <v/>
      </c>
      <c r="N25" s="50" t="str">
        <f>IF('Personnel Yr 1'!$J$5&gt;1,IF(OR(ISBLANK(L25),L25=""),"",ROUND(SUM(L25:M25),2)),"")</f>
        <v/>
      </c>
      <c r="O25" s="268"/>
    </row>
    <row r="26" spans="2:27" x14ac:dyDescent="0.2">
      <c r="B26" s="20" t="str">
        <f>IF('Personnel Yr 1'!$J$5&gt;1,IF(OR(ISBLANK('Personnel Yr 1'!B26),'Personnel Yr 1'!B26=""),"",'Personnel Yr 1'!B26),"")</f>
        <v/>
      </c>
      <c r="C26" s="584" t="s">
        <v>458</v>
      </c>
      <c r="D26" s="581"/>
      <c r="E26" s="581"/>
      <c r="F26" s="581"/>
      <c r="G26" s="581"/>
      <c r="H26" s="582"/>
      <c r="I26" s="22" t="str">
        <f>IF('Personnel Yr 1'!$J$5&gt;1,IF(OR(ISBLANK('Personnel Yr 1'!I26),'Personnel Yr 1'!I26=""),"",'Personnel Yr 1'!I26),"")</f>
        <v/>
      </c>
      <c r="J26" s="22" t="str">
        <f>IF('Personnel Yr 1'!$J$5&gt;1,IF(OR(ISBLANK('Personnel Yr 1'!J26),'Personnel Yr 1'!J26=""),"",'Personnel Yr 1'!J26),"")</f>
        <v/>
      </c>
      <c r="K26" s="22" t="str">
        <f>IF('Personnel Yr 1'!$J$5&gt;1,IF(OR(ISBLANK('Personnel Yr 1'!K26),'Personnel Yr 1'!K26=""),"",'Personnel Yr 1'!K26),"")</f>
        <v/>
      </c>
      <c r="L26" s="54" t="str">
        <f>IF('Personnel Yr 1'!$J$5&gt;1,IF(NOT(ISBLANK('Personnel Yr 1'!L26)),(('Personnel Yr 1'!L26*'Personnel Yr 1'!$D$5)+'Personnel Yr 1'!L26),""),"")</f>
        <v/>
      </c>
      <c r="M26" s="44" t="str">
        <f>IF('Personnel Yr 1'!$J$5&gt;1,IF(OR(ISBLANK(L26),L26=""),"",ROUND(L26*LOOKUP("Temp",Ben,Per),2)),"")</f>
        <v/>
      </c>
      <c r="N26" s="51" t="str">
        <f>IF('Personnel Yr 1'!$J$5&gt;1,IF(OR(ISBLANK(L26),L26=""),"",ROUND(SUM(L26:M26),2)),"")</f>
        <v/>
      </c>
      <c r="O26" s="247"/>
    </row>
    <row r="27" spans="2:27" s="257" customFormat="1" x14ac:dyDescent="0.2">
      <c r="B27" s="20"/>
      <c r="C27" s="589" t="s">
        <v>421</v>
      </c>
      <c r="D27" s="588"/>
      <c r="E27" s="588"/>
      <c r="F27" s="588"/>
      <c r="G27" s="588"/>
      <c r="H27" s="588"/>
      <c r="I27" s="22"/>
      <c r="J27" s="22"/>
      <c r="K27" s="22"/>
      <c r="L27" s="54" t="str">
        <f>IF('Personnel Yr 1'!$J$5&gt;1,IF(NOT(ISBLANK('Personnel Yr 1'!L27)),(('Personnel Yr 1'!L27*'Personnel Yr 1'!$D$5)+'Personnel Yr 1'!L27),""),"")</f>
        <v/>
      </c>
      <c r="M27" s="44" t="str">
        <f>IF('Personnel Yr 1'!$J$5&gt;1,IF(OR(ISBLANK(L27),L27=""),"",ROUND(L27*LOOKUP("Temp",Ben,Per),2)),"")</f>
        <v/>
      </c>
      <c r="N27" s="51" t="str">
        <f>IF('Personnel Yr 1'!$J$5&gt;1,IF(OR(ISBLANK(L27),L27=""),"",ROUND(SUM(L27:M27),2)),"")</f>
        <v/>
      </c>
      <c r="O27" s="247"/>
      <c r="P27" s="336"/>
      <c r="Q27" s="336"/>
      <c r="R27" s="336"/>
      <c r="S27" s="336"/>
      <c r="T27" s="336"/>
      <c r="U27" s="336"/>
      <c r="V27" s="336"/>
      <c r="W27" s="336"/>
      <c r="X27" s="336"/>
      <c r="Y27" s="336"/>
      <c r="Z27" s="336"/>
      <c r="AA27" s="336"/>
    </row>
    <row r="28" spans="2:27" s="257" customFormat="1" ht="13.5" thickBot="1" x14ac:dyDescent="0.25">
      <c r="B28" s="164"/>
      <c r="C28" s="590" t="s">
        <v>422</v>
      </c>
      <c r="D28" s="591"/>
      <c r="E28" s="591"/>
      <c r="F28" s="591"/>
      <c r="G28" s="591"/>
      <c r="H28" s="591"/>
      <c r="I28" s="29"/>
      <c r="J28" s="29"/>
      <c r="K28" s="29"/>
      <c r="L28" s="55" t="str">
        <f>IF('Personnel Yr 1'!$J$5&gt;1,IF(NOT(ISBLANK('Personnel Yr 1'!L28)),(('Personnel Yr 1'!L28*'Personnel Yr 1'!$D$5)+'Personnel Yr 1'!L28),""),"")</f>
        <v/>
      </c>
      <c r="M28" s="52" t="str">
        <f>IF('Personnel Yr 1'!$J$5&gt;1,IF(OR(ISBLANK(L28),L28=""),"",ROUND(L28*LOOKUP("Adjunct",Ben,Per),2)),"")</f>
        <v/>
      </c>
      <c r="N28" s="270" t="str">
        <f>IF('Personnel Yr 1'!$J$5&gt;1,IF(OR(ISBLANK(L28),L28=""),"",ROUND(SUM(L28:M28),2)),"")</f>
        <v/>
      </c>
      <c r="O28" s="269"/>
      <c r="P28" s="336"/>
      <c r="Q28" s="336"/>
      <c r="R28" s="336"/>
      <c r="S28" s="336"/>
      <c r="T28" s="336"/>
      <c r="U28" s="336"/>
      <c r="V28" s="336"/>
      <c r="W28" s="336"/>
      <c r="X28" s="336"/>
      <c r="Y28" s="336"/>
      <c r="Z28" s="336"/>
      <c r="AA28" s="336"/>
    </row>
    <row r="29" spans="2:27" ht="13.5" thickBot="1" x14ac:dyDescent="0.25">
      <c r="B29" s="27">
        <f>SUM(B21:B26)</f>
        <v>0</v>
      </c>
      <c r="C29" s="618" t="s">
        <v>11</v>
      </c>
      <c r="D29" s="563"/>
      <c r="E29" s="563"/>
      <c r="F29" s="563"/>
      <c r="G29" s="23"/>
      <c r="H29" s="23"/>
      <c r="I29" s="573" t="s">
        <v>12</v>
      </c>
      <c r="J29" s="619"/>
      <c r="K29" s="619"/>
      <c r="L29" s="619"/>
      <c r="M29" s="620"/>
      <c r="N29" s="56">
        <f>ROUND(SUM(N21:N28),2)</f>
        <v>0</v>
      </c>
    </row>
    <row r="30" spans="2:27" ht="13.5" thickBot="1" x14ac:dyDescent="0.25">
      <c r="B30" s="9"/>
      <c r="C30" s="24"/>
      <c r="D30" s="24"/>
      <c r="E30" s="24"/>
      <c r="F30" s="24"/>
      <c r="G30" s="24"/>
      <c r="H30" s="25"/>
      <c r="I30" s="571" t="s">
        <v>13</v>
      </c>
      <c r="J30" s="571"/>
      <c r="K30" s="571"/>
      <c r="L30" s="571"/>
      <c r="M30" s="572"/>
      <c r="N30" s="48">
        <f>ROUND(SUM(N16,N29),2)</f>
        <v>0</v>
      </c>
    </row>
    <row r="31" spans="2:27" s="264" customFormat="1" hidden="1" x14ac:dyDescent="0.2">
      <c r="B31" s="9"/>
      <c r="C31" s="265"/>
      <c r="D31" s="265"/>
      <c r="E31" s="265"/>
      <c r="F31" s="265"/>
      <c r="G31" s="265"/>
      <c r="H31" s="25"/>
      <c r="I31" s="263"/>
      <c r="J31" s="263"/>
      <c r="K31" s="263"/>
      <c r="L31" s="263"/>
      <c r="M31" s="263"/>
      <c r="N31" s="327"/>
      <c r="P31" s="336"/>
      <c r="Q31" s="336"/>
      <c r="R31" s="336"/>
      <c r="S31" s="336"/>
      <c r="T31" s="336"/>
      <c r="U31" s="336"/>
      <c r="V31" s="336"/>
      <c r="W31" s="336"/>
      <c r="X31" s="336"/>
      <c r="Y31" s="336"/>
      <c r="Z31" s="336"/>
      <c r="AA31" s="336"/>
    </row>
    <row r="32" spans="2:27" s="264" customFormat="1" ht="13.5" hidden="1" thickBot="1" x14ac:dyDescent="0.25">
      <c r="B32" s="9"/>
      <c r="C32" s="265"/>
      <c r="D32" s="265"/>
      <c r="E32" s="265"/>
      <c r="F32" s="265"/>
      <c r="G32" s="265"/>
      <c r="H32" s="25"/>
      <c r="I32" s="263"/>
      <c r="J32" s="263"/>
      <c r="K32" s="263"/>
      <c r="L32" s="263"/>
      <c r="M32" s="263"/>
      <c r="N32" s="327"/>
      <c r="P32" s="336"/>
      <c r="Q32" s="336"/>
      <c r="R32" s="336"/>
      <c r="S32" s="336"/>
      <c r="T32" s="336"/>
      <c r="U32" s="336"/>
      <c r="V32" s="336"/>
      <c r="W32" s="336"/>
      <c r="X32" s="336"/>
      <c r="Y32" s="336"/>
      <c r="Z32" s="336"/>
      <c r="AA32" s="336"/>
    </row>
    <row r="33" spans="1:25" ht="12.75" hidden="1" customHeight="1" x14ac:dyDescent="0.2">
      <c r="G33" s="339"/>
      <c r="H33" s="555" t="s">
        <v>235</v>
      </c>
      <c r="I33" s="556"/>
      <c r="J33" s="556"/>
      <c r="K33" s="556"/>
      <c r="L33" s="557"/>
    </row>
    <row r="34" spans="1:25" ht="12.75" hidden="1" customHeight="1" thickBot="1" x14ac:dyDescent="0.25">
      <c r="G34" s="339"/>
      <c r="H34" s="558"/>
      <c r="I34" s="559"/>
      <c r="J34" s="559"/>
      <c r="K34" s="559"/>
      <c r="L34" s="560"/>
    </row>
    <row r="35" spans="1:25" ht="12.75" hidden="1" customHeight="1" x14ac:dyDescent="0.2">
      <c r="E35" s="253"/>
      <c r="G35" s="339"/>
      <c r="H35" s="546" t="s">
        <v>240</v>
      </c>
      <c r="I35" s="609"/>
      <c r="J35" s="609"/>
      <c r="K35" s="609"/>
      <c r="L35" s="610"/>
    </row>
    <row r="36" spans="1:25" ht="12.75" hidden="1" customHeight="1" x14ac:dyDescent="0.2">
      <c r="G36" s="339"/>
      <c r="H36" s="611"/>
      <c r="I36" s="612"/>
      <c r="J36" s="612"/>
      <c r="K36" s="612"/>
      <c r="L36" s="613"/>
    </row>
    <row r="37" spans="1:25" ht="12.75" hidden="1" customHeight="1" x14ac:dyDescent="0.2">
      <c r="E37" s="253"/>
      <c r="G37" s="339"/>
      <c r="H37" s="611"/>
      <c r="I37" s="612"/>
      <c r="J37" s="612"/>
      <c r="K37" s="612"/>
      <c r="L37" s="613"/>
    </row>
    <row r="38" spans="1:25" ht="12.75" hidden="1" customHeight="1" x14ac:dyDescent="0.2">
      <c r="G38" s="339"/>
      <c r="H38" s="611"/>
      <c r="I38" s="612"/>
      <c r="J38" s="612"/>
      <c r="K38" s="612"/>
      <c r="L38" s="613"/>
    </row>
    <row r="39" spans="1:25" ht="12.75" hidden="1" customHeight="1" thickBot="1" x14ac:dyDescent="0.25">
      <c r="G39" s="339"/>
      <c r="H39" s="614"/>
      <c r="I39" s="615"/>
      <c r="J39" s="615"/>
      <c r="K39" s="615"/>
      <c r="L39" s="616"/>
    </row>
    <row r="40" spans="1:25" ht="12.75" hidden="1" customHeight="1" thickBot="1" x14ac:dyDescent="0.25">
      <c r="G40" s="339"/>
      <c r="H40" s="174" t="s">
        <v>236</v>
      </c>
      <c r="I40" s="167"/>
      <c r="J40" s="173" t="s">
        <v>237</v>
      </c>
      <c r="K40" s="173" t="s">
        <v>238</v>
      </c>
      <c r="L40" s="172" t="s">
        <v>239</v>
      </c>
    </row>
    <row r="41" spans="1:25" ht="13.5" hidden="1" customHeight="1" thickBot="1" x14ac:dyDescent="0.25">
      <c r="G41" s="339"/>
      <c r="H41" s="168">
        <v>0</v>
      </c>
      <c r="I41" s="169"/>
      <c r="J41" s="170">
        <f>H41*12</f>
        <v>0</v>
      </c>
      <c r="K41" s="170">
        <f>H41*8.5</f>
        <v>0</v>
      </c>
      <c r="L41" s="171">
        <f>H41*3.5</f>
        <v>0</v>
      </c>
    </row>
    <row r="42" spans="1:25" hidden="1" x14ac:dyDescent="0.2">
      <c r="A42" s="264"/>
      <c r="B42" s="545" t="s">
        <v>242</v>
      </c>
      <c r="C42" s="545"/>
      <c r="D42" s="545"/>
      <c r="E42" s="264"/>
      <c r="F42" s="264"/>
      <c r="G42" s="264"/>
      <c r="H42" s="264"/>
      <c r="I42" s="264"/>
      <c r="J42" s="264"/>
      <c r="K42" s="264"/>
      <c r="L42" s="264"/>
      <c r="M42" s="264"/>
      <c r="N42" s="264"/>
      <c r="O42" s="264"/>
    </row>
    <row r="43" spans="1:25" ht="26.25" hidden="1"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S43" s="347"/>
      <c r="T43" s="335" t="s">
        <v>66</v>
      </c>
      <c r="U43" s="335" t="s">
        <v>67</v>
      </c>
      <c r="V43" s="335" t="s">
        <v>68</v>
      </c>
      <c r="Y43" s="336" t="s">
        <v>464</v>
      </c>
    </row>
    <row r="44" spans="1:25" hidden="1" x14ac:dyDescent="0.2">
      <c r="A44" s="5">
        <v>1</v>
      </c>
      <c r="B44" s="28" t="str">
        <f>IF('Personnel Yr 1'!$J$5&gt;1,IF(NOT(OR(ISBLANK('Personnel Yr 1'!B44),'Personnel Yr 1'!B44="")),'Personnel Yr 1'!B44,""),"")</f>
        <v/>
      </c>
      <c r="C44" s="17" t="str">
        <f>IF('Personnel Yr 1'!$J$5&gt;1,IF(ISBLANK('Personnel Yr 1'!C44),"",'Personnel Yr 1'!C44),"")</f>
        <v/>
      </c>
      <c r="D44" s="17" t="str">
        <f>IF('Personnel Yr 1'!$J$5&gt;1,IF(ISBLANK('Personnel Yr 1'!D44),"",'Personnel Yr 1'!D44),"")</f>
        <v/>
      </c>
      <c r="E44" s="183" t="str">
        <f>IF('Personnel Yr 1'!$J$5&gt;1,IF(ISBLANK('Personnel Yr 1'!E44),"",'Personnel Yr 1'!E44),"")</f>
        <v/>
      </c>
      <c r="F44" s="17" t="str">
        <f>IF('Personnel Yr 1'!$J$5&gt;1,IF(ISBLANK('Personnel Yr 1'!F44),"",'Personnel Yr 1'!F44),"")</f>
        <v/>
      </c>
      <c r="G44" s="176" t="str">
        <f>IF('Personnel Yr 1'!$J$5&gt;1,IF(ISBLANK('Personnel Yr 1'!G44),"",'Personnel Yr 1'!G44),"")</f>
        <v/>
      </c>
      <c r="H44" s="177" t="str">
        <f>IF('Personnel Yr 1'!$J$5&gt;1,IF(NOT(ISBLANK('Personnel Yr 1'!H44)),(('Personnel Yr 1'!H44*'Personnel Yr 1'!$D$5)+'Personnel Yr 1'!H44),""),"")</f>
        <v/>
      </c>
      <c r="I44" s="17" t="str">
        <f>IF('Personnel Yr 1'!$J$5&gt;1,IF(AND(OR(ISBLANK($H44),$H44=""),ISBLANK('Personnel Yr 1'!I44)),"",'Personnel Yr 1'!I44),"")</f>
        <v/>
      </c>
      <c r="J44" s="17" t="str">
        <f>IF('Personnel Yr 1'!$J$5&gt;1,IF(AND(OR(ISBLANK($H44),$H44=""),ISBLANK('Personnel Yr 1'!J44)),"",'Personnel Yr 1'!J44),"")</f>
        <v/>
      </c>
      <c r="K44" s="17" t="str">
        <f>IF('Personnel Yr 1'!$J$5&gt;1,IF(AND(OR(ISBLANK($H44),$H44=""),ISBLANK('Personnel Yr 1'!K44)),"",'Personnel Yr 1'!K44),"")</f>
        <v/>
      </c>
      <c r="L44" s="45" t="str">
        <f>IF('Personnel Yr 1'!$J$5&gt;1,IF(NOT(OR(ISBLANK(H44),H44="")),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1'!$J$5&gt;1,IF(OR(ISBLANK(L44),L44=""),"",ROUND(SUM(T44:V44),2)),"")</f>
        <v/>
      </c>
      <c r="N44" s="46" t="str">
        <f>IF('Personnel Yr 1'!$J$5&gt;1,IF(OR(ISBLANK(M44),M44=""),"",ROUND(SUM(L44:M44),2)),"")</f>
        <v/>
      </c>
      <c r="O44" s="158"/>
      <c r="P44" s="347" t="str">
        <f>IF('Personnel Yr 1'!$J$5&gt;1,IF(NOT(OR(ISBLANK(I44),I44="")),(H44/12)*I44,""),0)</f>
        <v/>
      </c>
      <c r="Q44" s="347" t="str">
        <f>IF('Personnel Yr 1'!$J$5&gt;1,IF(NOT(OR(ISBLANK(J44),J44="")),(H44/8.5)*J44,""),0)</f>
        <v/>
      </c>
      <c r="R44" s="347" t="str">
        <f>IF('Personnel Yr 1'!$J$5&gt;1,IF(NOT(OR(ISBLANK(K44),K44="")),(H44/8.5)*K44,""),0)</f>
        <v/>
      </c>
      <c r="S44" s="347"/>
      <c r="T44" s="347">
        <f>IF(OR(ISBLANK(P44),P44=""),0,P44*LOOKUP("Full",Ben,Per))</f>
        <v>0</v>
      </c>
      <c r="U44" s="347">
        <f>IF(OR(ISBLANK(Q44),Q44=""),0,Q44*LOOKUP("Full",Ben,Per))</f>
        <v>0</v>
      </c>
      <c r="V44" s="347">
        <f>IF(OR(ISBLANK(R44),R44=""),0,R44*LOOKUP("Summer",Ben,Per))</f>
        <v>0</v>
      </c>
      <c r="Y44" s="336" t="b">
        <f>IF('Personnel Yr 1'!$J$5&gt;1,IF(OR($N$5&lt;&gt;"Federal - NIH",OR(AND(ISBLANK(I44),ISBLANK(J44),ISBLANK(K44)),AND(I44="",J44="",K44=""))),FALSE,IF(I44&gt;0,H44&gt;NIHSalaryCap,H44&gt;(NIHSalaryCap*8.5)/12)),FALSE)</f>
        <v>0</v>
      </c>
    </row>
    <row r="45" spans="1:25" hidden="1" x14ac:dyDescent="0.2">
      <c r="A45" s="5">
        <v>2</v>
      </c>
      <c r="B45" s="6" t="str">
        <f>IF('Personnel Yr 1'!$J$5&gt;1,IF(NOT(OR(ISBLANK('Personnel Yr 1'!B45),'Personnel Yr 1'!B45="")),'Personnel Yr 1'!B45,""),"")</f>
        <v/>
      </c>
      <c r="C45" s="22" t="str">
        <f>IF('Personnel Yr 1'!$J$5&gt;1,IF(ISBLANK('Personnel Yr 1'!C45),"",'Personnel Yr 1'!C45),"")</f>
        <v/>
      </c>
      <c r="D45" s="22" t="str">
        <f>IF('Personnel Yr 1'!$J$5&gt;1,IF(ISBLANK('Personnel Yr 1'!D45),"",'Personnel Yr 1'!D45),"")</f>
        <v/>
      </c>
      <c r="E45" s="22" t="str">
        <f>IF('Personnel Yr 1'!$J$5&gt;1,IF(ISBLANK('Personnel Yr 1'!E45),"",'Personnel Yr 1'!E45),"")</f>
        <v/>
      </c>
      <c r="F45" s="22" t="str">
        <f>IF('Personnel Yr 1'!$J$5&gt;1,IF(ISBLANK('Personnel Yr 1'!F45),"",'Personnel Yr 1'!F45),"")</f>
        <v/>
      </c>
      <c r="G45" s="22" t="str">
        <f>IF('Personnel Yr 1'!$J$5&gt;1,IF(ISBLANK('Personnel Yr 1'!G45),"",'Personnel Yr 1'!G45),"")</f>
        <v/>
      </c>
      <c r="H45" s="42" t="str">
        <f>IF('Personnel Yr 1'!$J$5&gt;1,IF(NOT(ISBLANK('Personnel Yr 1'!H45)),(('Personnel Yr 1'!H45*'Personnel Yr 1'!$D$5)+'Personnel Yr 1'!H45),""),"")</f>
        <v/>
      </c>
      <c r="I45" s="22" t="str">
        <f>IF('Personnel Yr 1'!$J$5&gt;1,IF(AND(OR(ISBLANK($H45),$H45=""),ISBLANK('Personnel Yr 1'!I45)),"",'Personnel Yr 1'!I45),"")</f>
        <v/>
      </c>
      <c r="J45" s="22" t="str">
        <f>IF('Personnel Yr 1'!$J$5&gt;1,IF(AND(OR(ISBLANK($H45),$H45=""),ISBLANK('Personnel Yr 1'!J45)),"",'Personnel Yr 1'!J45),"")</f>
        <v/>
      </c>
      <c r="K45" s="22" t="str">
        <f>IF('Personnel Yr 1'!$J$5&gt;1,IF(AND(OR(ISBLANK($H45),$H45=""),ISBLANK('Personnel Yr 1'!K45)),"",'Personnel Yr 1'!K45),"")</f>
        <v/>
      </c>
      <c r="L45" s="44" t="str">
        <f>IF('Personnel Yr 1'!$J$5&gt;1,IF(NOT(OR(ISBLANK(H45),H45="")),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1'!$J$5&gt;1,IF(OR(ISBLANK(L45),L45=""),"",ROUND(SUM(T45:V45),2)),"")</f>
        <v/>
      </c>
      <c r="N45" s="51" t="str">
        <f>IF('Personnel Yr 1'!$J$5&gt;1,IF(OR(ISBLANK(M45),M45=""),"",ROUND(SUM(L45:M45),2)),"")</f>
        <v/>
      </c>
      <c r="O45" s="157"/>
      <c r="P45" s="347" t="str">
        <f>IF('Personnel Yr 1'!$J$5&gt;1,IF(NOT(OR(ISBLANK(I45),I45="")),(H45/12)*I45,""),0)</f>
        <v/>
      </c>
      <c r="Q45" s="347" t="str">
        <f>IF('Personnel Yr 1'!$J$5&gt;1,IF(NOT(OR(ISBLANK(J45),J45="")),(H45/8.5)*J45,""),0)</f>
        <v/>
      </c>
      <c r="R45" s="347" t="str">
        <f>IF('Personnel Yr 1'!$J$5&gt;1,IF(NOT(OR(ISBLANK(K45),K45="")),(H45/8.5)*K45,""),0)</f>
        <v/>
      </c>
      <c r="S45" s="347"/>
      <c r="T45" s="347">
        <f t="shared" ref="T45:T51" si="2">IF(OR(ISBLANK(P45),P45=""),0,P45*LOOKUP("Full",Ben,Per))</f>
        <v>0</v>
      </c>
      <c r="U45" s="347">
        <f t="shared" ref="U45:U51" si="3">IF(OR(ISBLANK(Q45),Q45=""),0,Q45*LOOKUP("Full",Ben,Per))</f>
        <v>0</v>
      </c>
      <c r="V45" s="347">
        <f t="shared" ref="V45:V51" si="4">IF(OR(ISBLANK(R45),R45=""),0,R45*LOOKUP("Summer",Ben,Per))</f>
        <v>0</v>
      </c>
      <c r="Y45" s="336" t="b">
        <f>IF('Personnel Yr 1'!$J$5&gt;1,IF(OR($N$5&lt;&gt;"Federal - NIH",OR(AND(ISBLANK(I45),ISBLANK(J45),ISBLANK(K45)),AND(I45="",J45="",K45=""))),FALSE,IF(I45&gt;0,H45&gt;NIHSalaryCap,H45&gt;(NIHSalaryCap*8.5)/12)),FALSE)</f>
        <v>0</v>
      </c>
    </row>
    <row r="46" spans="1:25" hidden="1" x14ac:dyDescent="0.2">
      <c r="A46" s="5">
        <v>3</v>
      </c>
      <c r="B46" s="6" t="str">
        <f>IF('Personnel Yr 1'!$J$5&gt;1,IF(NOT(OR(ISBLANK('Personnel Yr 1'!B46),'Personnel Yr 1'!B46="")),'Personnel Yr 1'!B46,""),"")</f>
        <v/>
      </c>
      <c r="C46" s="22" t="str">
        <f>IF('Personnel Yr 1'!$J$5&gt;1,IF(ISBLANK('Personnel Yr 1'!C46),"",'Personnel Yr 1'!C46),"")</f>
        <v/>
      </c>
      <c r="D46" s="22" t="str">
        <f>IF('Personnel Yr 1'!$J$5&gt;1,IF(ISBLANK('Personnel Yr 1'!D46),"",'Personnel Yr 1'!D46),"")</f>
        <v/>
      </c>
      <c r="E46" s="22" t="str">
        <f>IF('Personnel Yr 1'!$J$5&gt;1,IF(ISBLANK('Personnel Yr 1'!E46),"",'Personnel Yr 1'!E46),"")</f>
        <v/>
      </c>
      <c r="F46" s="22" t="str">
        <f>IF('Personnel Yr 1'!$J$5&gt;1,IF(ISBLANK('Personnel Yr 1'!F46),"",'Personnel Yr 1'!F46),"")</f>
        <v/>
      </c>
      <c r="G46" s="70" t="str">
        <f>IF('Personnel Yr 1'!$J$5&gt;1,IF(ISBLANK('Personnel Yr 1'!G46),"",'Personnel Yr 1'!G46),"")</f>
        <v/>
      </c>
      <c r="H46" s="42" t="str">
        <f>IF('Personnel Yr 1'!$J$5&gt;1,IF(NOT(ISBLANK('Personnel Yr 1'!H46)),(('Personnel Yr 1'!H46*'Personnel Yr 1'!$D$5)+'Personnel Yr 1'!H46),""),"")</f>
        <v/>
      </c>
      <c r="I46" s="22" t="str">
        <f>IF('Personnel Yr 1'!$J$5&gt;1,IF(AND(OR(ISBLANK($H46),$H46=""),ISBLANK('Personnel Yr 1'!I46)),"",'Personnel Yr 1'!I46),"")</f>
        <v/>
      </c>
      <c r="J46" s="22" t="str">
        <f>IF('Personnel Yr 1'!$J$5&gt;1,IF(AND(OR(ISBLANK($H46),$H46=""),ISBLANK('Personnel Yr 1'!J46)),"",'Personnel Yr 1'!J46),"")</f>
        <v/>
      </c>
      <c r="K46" s="22" t="str">
        <f>IF('Personnel Yr 1'!$J$5&gt;1,IF(AND(OR(ISBLANK($H46),$H46=""),ISBLANK('Personnel Yr 1'!K46)),"",'Personnel Yr 1'!K46),"")</f>
        <v/>
      </c>
      <c r="L46" s="155" t="str">
        <f>IF('Personnel Yr 1'!$J$5&gt;1,IF(NOT(OR(ISBLANK(H46),H46="")),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1'!$J$5&gt;1,IF(OR(ISBLANK(L46),L46=""),"",ROUND(SUM(T46:V46),2)),"")</f>
        <v/>
      </c>
      <c r="N46" s="51" t="str">
        <f>IF('Personnel Yr 1'!$J$5&gt;1,IF(OR(ISBLANK(M46),M46=""),"",ROUND(SUM(L46:M46),2)),"")</f>
        <v/>
      </c>
      <c r="O46" s="160"/>
      <c r="P46" s="347" t="str">
        <f>IF('Personnel Yr 1'!$J$5&gt;1,IF(NOT(OR(ISBLANK(I46),I46="")),(H46/12)*I46,""),0)</f>
        <v/>
      </c>
      <c r="Q46" s="347" t="str">
        <f>IF('Personnel Yr 1'!$J$5&gt;1,IF(NOT(OR(ISBLANK(J46),J46="")),(H46/8.5)*J46,""),0)</f>
        <v/>
      </c>
      <c r="R46" s="347" t="str">
        <f>IF('Personnel Yr 1'!$J$5&gt;1,IF(NOT(OR(ISBLANK(K46),K46="")),(H46/8.5)*K46,""),0)</f>
        <v/>
      </c>
      <c r="S46" s="347"/>
      <c r="T46" s="347">
        <f t="shared" si="2"/>
        <v>0</v>
      </c>
      <c r="U46" s="347">
        <f t="shared" si="3"/>
        <v>0</v>
      </c>
      <c r="V46" s="347">
        <f t="shared" si="4"/>
        <v>0</v>
      </c>
      <c r="Y46" s="336" t="b">
        <f>IF('Personnel Yr 1'!$J$5&gt;1,IF(OR($N$5&lt;&gt;"Federal - NIH",OR(AND(ISBLANK(I46),ISBLANK(J46),ISBLANK(K46)),AND(I46="",J46="",K46=""))),FALSE,IF(I46&gt;0,H46&gt;NIHSalaryCap,H46&gt;(NIHSalaryCap*8.5)/12)),FALSE)</f>
        <v>0</v>
      </c>
    </row>
    <row r="47" spans="1:25" hidden="1" x14ac:dyDescent="0.2">
      <c r="A47" s="5">
        <v>4</v>
      </c>
      <c r="B47" s="6" t="str">
        <f>IF('Personnel Yr 1'!$J$5&gt;1,IF(NOT(OR(ISBLANK('Personnel Yr 1'!B47),'Personnel Yr 1'!B47="")),'Personnel Yr 1'!B47,""),"")</f>
        <v/>
      </c>
      <c r="C47" s="22" t="str">
        <f>IF('Personnel Yr 1'!$J$5&gt;1,IF(ISBLANK('Personnel Yr 1'!C47),"",'Personnel Yr 1'!C47),"")</f>
        <v/>
      </c>
      <c r="D47" s="22" t="str">
        <f>IF('Personnel Yr 1'!$J$5&gt;1,IF(ISBLANK('Personnel Yr 1'!D47),"",'Personnel Yr 1'!D47),"")</f>
        <v/>
      </c>
      <c r="E47" s="22" t="str">
        <f>IF('Personnel Yr 1'!$J$5&gt;1,IF(ISBLANK('Personnel Yr 1'!E47),"",'Personnel Yr 1'!E47),"")</f>
        <v/>
      </c>
      <c r="F47" s="22" t="str">
        <f>IF('Personnel Yr 1'!$J$5&gt;1,IF(ISBLANK('Personnel Yr 1'!F47),"",'Personnel Yr 1'!F47),"")</f>
        <v/>
      </c>
      <c r="G47" s="71" t="str">
        <f>IF('Personnel Yr 1'!$J$5&gt;1,IF(ISBLANK('Personnel Yr 1'!G47),"",'Personnel Yr 1'!G47),"")</f>
        <v/>
      </c>
      <c r="H47" s="42" t="str">
        <f>IF('Personnel Yr 1'!$J$5&gt;1,IF(NOT(ISBLANK('Personnel Yr 1'!H47)),(('Personnel Yr 1'!H47*'Personnel Yr 1'!$D$5)+'Personnel Yr 1'!H47),""),"")</f>
        <v/>
      </c>
      <c r="I47" s="22" t="str">
        <f>IF('Personnel Yr 1'!$J$5&gt;1,IF(AND(OR(ISBLANK($H47),$H47=""),ISBLANK('Personnel Yr 1'!I47)),"",'Personnel Yr 1'!I47),"")</f>
        <v/>
      </c>
      <c r="J47" s="22" t="str">
        <f>IF('Personnel Yr 1'!$J$5&gt;1,IF(AND(OR(ISBLANK($H47),$H47=""),ISBLANK('Personnel Yr 1'!J47)),"",'Personnel Yr 1'!J47),"")</f>
        <v/>
      </c>
      <c r="K47" s="22" t="str">
        <f>IF('Personnel Yr 1'!$J$5&gt;1,IF(AND(OR(ISBLANK($H47),$H47=""),ISBLANK('Personnel Yr 1'!K47)),"",'Personnel Yr 1'!K47),"")</f>
        <v/>
      </c>
      <c r="L47" s="156" t="str">
        <f>IF('Personnel Yr 1'!$J$5&gt;1,IF(NOT(OR(ISBLANK(H47),H47="")),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1'!$J$5&gt;1,IF(OR(ISBLANK(L47),L47=""),"",ROUND(SUM(T47:V47),2)),"")</f>
        <v/>
      </c>
      <c r="N47" s="51" t="str">
        <f>IF('Personnel Yr 1'!$J$5&gt;1,IF(OR(ISBLANK(M47),M47=""),"",ROUND(SUM(L47:M47),2)),"")</f>
        <v/>
      </c>
      <c r="O47" s="159"/>
      <c r="P47" s="347" t="str">
        <f>IF('Personnel Yr 1'!$J$5&gt;1,IF(NOT(OR(ISBLANK(I47),I47="")),(H47/12)*I47,""),0)</f>
        <v/>
      </c>
      <c r="Q47" s="347" t="str">
        <f>IF('Personnel Yr 1'!$J$5&gt;1,IF(NOT(OR(ISBLANK(J47),J47="")),(H47/8.5)*J47,""),0)</f>
        <v/>
      </c>
      <c r="R47" s="347" t="str">
        <f>IF('Personnel Yr 1'!$J$5&gt;1,IF(NOT(OR(ISBLANK(K47),K47="")),(H47/8.5)*K47,""),0)</f>
        <v/>
      </c>
      <c r="S47" s="347"/>
      <c r="T47" s="347">
        <f t="shared" si="2"/>
        <v>0</v>
      </c>
      <c r="U47" s="347">
        <f t="shared" si="3"/>
        <v>0</v>
      </c>
      <c r="V47" s="347">
        <f t="shared" si="4"/>
        <v>0</v>
      </c>
      <c r="Y47" s="336" t="b">
        <f>IF('Personnel Yr 1'!$J$5&gt;1,IF(OR($N$5&lt;&gt;"Federal - NIH",OR(AND(ISBLANK(I47),ISBLANK(J47),ISBLANK(K47)),AND(I47="",J47="",K47=""))),FALSE,IF(I47&gt;0,H47&gt;NIHSalaryCap,H47&gt;(NIHSalaryCap*8.5)/12)),FALSE)</f>
        <v>0</v>
      </c>
    </row>
    <row r="48" spans="1:25" hidden="1" x14ac:dyDescent="0.2">
      <c r="A48" s="5">
        <v>5</v>
      </c>
      <c r="B48" s="6" t="str">
        <f>IF('Personnel Yr 1'!$J$5&gt;1,IF(NOT(OR(ISBLANK('Personnel Yr 1'!B48),'Personnel Yr 1'!B48="")),'Personnel Yr 1'!B48,""),"")</f>
        <v/>
      </c>
      <c r="C48" s="22" t="str">
        <f>IF('Personnel Yr 1'!$J$5&gt;1,IF(ISBLANK('Personnel Yr 1'!C48),"",'Personnel Yr 1'!C48),"")</f>
        <v/>
      </c>
      <c r="D48" s="22" t="str">
        <f>IF('Personnel Yr 1'!$J$5&gt;1,IF(ISBLANK('Personnel Yr 1'!D48),"",'Personnel Yr 1'!D48),"")</f>
        <v/>
      </c>
      <c r="E48" s="22" t="str">
        <f>IF('Personnel Yr 1'!$J$5&gt;1,IF(ISBLANK('Personnel Yr 1'!E48),"",'Personnel Yr 1'!E48),"")</f>
        <v/>
      </c>
      <c r="F48" s="22" t="str">
        <f>IF('Personnel Yr 1'!$J$5&gt;1,IF(ISBLANK('Personnel Yr 1'!F48),"",'Personnel Yr 1'!F48),"")</f>
        <v/>
      </c>
      <c r="G48" s="22" t="str">
        <f>IF('Personnel Yr 1'!$J$5&gt;1,IF(ISBLANK('Personnel Yr 1'!G48),"",'Personnel Yr 1'!G48),"")</f>
        <v/>
      </c>
      <c r="H48" s="42" t="str">
        <f>IF('Personnel Yr 1'!$J$5&gt;1,IF(NOT(ISBLANK('Personnel Yr 1'!H48)),(('Personnel Yr 1'!H48*'Personnel Yr 1'!$D$5)+'Personnel Yr 1'!H48),""),"")</f>
        <v/>
      </c>
      <c r="I48" s="22" t="str">
        <f>IF('Personnel Yr 1'!$J$5&gt;1,IF(AND(OR(ISBLANK($H48),$H48=""),ISBLANK('Personnel Yr 1'!I48)),"",'Personnel Yr 1'!I48),"")</f>
        <v/>
      </c>
      <c r="J48" s="22" t="str">
        <f>IF('Personnel Yr 1'!$J$5&gt;1,IF(AND(OR(ISBLANK($H48),$H48=""),ISBLANK('Personnel Yr 1'!J48)),"",'Personnel Yr 1'!J48),"")</f>
        <v/>
      </c>
      <c r="K48" s="22" t="str">
        <f>IF('Personnel Yr 1'!$J$5&gt;1,IF(AND(OR(ISBLANK($H48),$H48=""),ISBLANK('Personnel Yr 1'!K48)),"",'Personnel Yr 1'!K48),"")</f>
        <v/>
      </c>
      <c r="L48" s="156" t="str">
        <f>IF('Personnel Yr 1'!$J$5&gt;1,IF(NOT(OR(ISBLANK(H48),H48="")),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1'!$J$5&gt;1,IF(OR(ISBLANK(L48),L48=""),"",ROUND(SUM(T48:V48),2)),"")</f>
        <v/>
      </c>
      <c r="N48" s="51" t="str">
        <f>IF('Personnel Yr 1'!$J$5&gt;1,IF(OR(ISBLANK(M48),M48=""),"",ROUND(SUM(L48:M48),2)),"")</f>
        <v/>
      </c>
      <c r="O48" s="159"/>
      <c r="P48" s="347" t="str">
        <f>IF('Personnel Yr 1'!$J$5&gt;1,IF(NOT(OR(ISBLANK(I48),I48="")),(H48/12)*I48,""),0)</f>
        <v/>
      </c>
      <c r="Q48" s="347" t="str">
        <f>IF('Personnel Yr 1'!$J$5&gt;1,IF(NOT(OR(ISBLANK(J48),J48="")),(H48/8.5)*J48,""),0)</f>
        <v/>
      </c>
      <c r="R48" s="347" t="str">
        <f>IF('Personnel Yr 1'!$J$5&gt;1,IF(NOT(OR(ISBLANK(K48),K48="")),(H48/8.5)*K48,""),0)</f>
        <v/>
      </c>
      <c r="S48" s="347"/>
      <c r="T48" s="347">
        <f t="shared" si="2"/>
        <v>0</v>
      </c>
      <c r="U48" s="347">
        <f t="shared" si="3"/>
        <v>0</v>
      </c>
      <c r="V48" s="347">
        <f t="shared" si="4"/>
        <v>0</v>
      </c>
      <c r="Y48" s="336" t="b">
        <f>IF('Personnel Yr 1'!$J$5&gt;1,IF(OR($N$5&lt;&gt;"Federal - NIH",OR(AND(ISBLANK(I48),ISBLANK(J48),ISBLANK(K48)),AND(I48="",J48="",K48=""))),FALSE,IF(I48&gt;0,H48&gt;NIHSalaryCap,H48&gt;(NIHSalaryCap*8.5)/12)),FALSE)</f>
        <v>0</v>
      </c>
    </row>
    <row r="49" spans="1:25" hidden="1" x14ac:dyDescent="0.2">
      <c r="A49" s="5">
        <v>6</v>
      </c>
      <c r="B49" s="6" t="str">
        <f>IF('Personnel Yr 1'!$J$5&gt;1,IF(NOT(OR(ISBLANK('Personnel Yr 1'!B49),'Personnel Yr 1'!B49="")),'Personnel Yr 1'!B49,""),"")</f>
        <v/>
      </c>
      <c r="C49" s="22" t="str">
        <f>IF('Personnel Yr 1'!$J$5&gt;1,IF(ISBLANK('Personnel Yr 1'!C49),"",'Personnel Yr 1'!C49),"")</f>
        <v/>
      </c>
      <c r="D49" s="22" t="str">
        <f>IF('Personnel Yr 1'!$J$5&gt;1,IF(ISBLANK('Personnel Yr 1'!D49),"",'Personnel Yr 1'!D49),"")</f>
        <v/>
      </c>
      <c r="E49" s="22" t="str">
        <f>IF('Personnel Yr 1'!$J$5&gt;1,IF(ISBLANK('Personnel Yr 1'!E49),"",'Personnel Yr 1'!E49),"")</f>
        <v/>
      </c>
      <c r="F49" s="22" t="str">
        <f>IF('Personnel Yr 1'!$J$5&gt;1,IF(ISBLANK('Personnel Yr 1'!F49),"",'Personnel Yr 1'!F49),"")</f>
        <v/>
      </c>
      <c r="G49" s="22" t="str">
        <f>IF('Personnel Yr 1'!$J$5&gt;1,IF(ISBLANK('Personnel Yr 1'!G49),"",'Personnel Yr 1'!G49),"")</f>
        <v/>
      </c>
      <c r="H49" s="42" t="str">
        <f>IF('Personnel Yr 1'!$J$5&gt;1,IF(NOT(ISBLANK('Personnel Yr 1'!H49)),(('Personnel Yr 1'!H49*'Personnel Yr 1'!$D$5)+'Personnel Yr 1'!H49),""),"")</f>
        <v/>
      </c>
      <c r="I49" s="22" t="str">
        <f>IF('Personnel Yr 1'!$J$5&gt;1,IF(AND(OR(ISBLANK($H49),$H49=""),ISBLANK('Personnel Yr 1'!I49)),"",'Personnel Yr 1'!I49),"")</f>
        <v/>
      </c>
      <c r="J49" s="22" t="str">
        <f>IF('Personnel Yr 1'!$J$5&gt;1,IF(AND(OR(ISBLANK($H49),$H49=""),ISBLANK('Personnel Yr 1'!J49)),"",'Personnel Yr 1'!J49),"")</f>
        <v/>
      </c>
      <c r="K49" s="22" t="str">
        <f>IF('Personnel Yr 1'!$J$5&gt;1,IF(AND(OR(ISBLANK($H49),$H49=""),ISBLANK('Personnel Yr 1'!K49)),"",'Personnel Yr 1'!K49),"")</f>
        <v/>
      </c>
      <c r="L49" s="44" t="str">
        <f>IF('Personnel Yr 1'!$J$5&gt;1,IF(NOT(OR(ISBLANK(H49),H49="")),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1'!$J$5&gt;1,IF(OR(ISBLANK(L49),L49=""),"",ROUND(SUM(T49:V49),2)),"")</f>
        <v/>
      </c>
      <c r="N49" s="51" t="str">
        <f>IF('Personnel Yr 1'!$J$5&gt;1,IF(OR(ISBLANK(M49),M49=""),"",ROUND(SUM(L49:M49),2)),"")</f>
        <v/>
      </c>
      <c r="O49" s="157"/>
      <c r="P49" s="347" t="str">
        <f>IF('Personnel Yr 1'!$J$5&gt;1,IF(NOT(OR(ISBLANK(I49),I49="")),(H49/12)*I49,""),0)</f>
        <v/>
      </c>
      <c r="Q49" s="347" t="str">
        <f>IF('Personnel Yr 1'!$J$5&gt;1,IF(NOT(OR(ISBLANK(J49),J49="")),(H49/8.5)*J49,""),0)</f>
        <v/>
      </c>
      <c r="R49" s="347" t="str">
        <f>IF('Personnel Yr 1'!$J$5&gt;1,IF(NOT(OR(ISBLANK(K49),K49="")),(H49/8.5)*K49,""),0)</f>
        <v/>
      </c>
      <c r="S49" s="347"/>
      <c r="T49" s="347">
        <f t="shared" si="2"/>
        <v>0</v>
      </c>
      <c r="U49" s="347">
        <f t="shared" si="3"/>
        <v>0</v>
      </c>
      <c r="V49" s="347">
        <f t="shared" si="4"/>
        <v>0</v>
      </c>
      <c r="Y49" s="336" t="b">
        <f>IF('Personnel Yr 1'!$J$5&gt;1,IF(OR($N$5&lt;&gt;"Federal - NIH",OR(AND(ISBLANK(I49),ISBLANK(J49),ISBLANK(K49)),AND(I49="",J49="",K49=""))),FALSE,IF(I49&gt;0,H49&gt;NIHSalaryCap,H49&gt;(NIHSalaryCap*8.5)/12)),FALSE)</f>
        <v>0</v>
      </c>
    </row>
    <row r="50" spans="1:25" hidden="1" x14ac:dyDescent="0.2">
      <c r="A50" s="5">
        <v>7</v>
      </c>
      <c r="B50" s="6" t="str">
        <f>IF('Personnel Yr 1'!$J$5&gt;1,IF(NOT(OR(ISBLANK('Personnel Yr 1'!B50),'Personnel Yr 1'!B50="")),'Personnel Yr 1'!B50,""),"")</f>
        <v/>
      </c>
      <c r="C50" s="22" t="str">
        <f>IF('Personnel Yr 1'!$J$5&gt;1,IF(ISBLANK('Personnel Yr 1'!C50),"",'Personnel Yr 1'!C50),"")</f>
        <v/>
      </c>
      <c r="D50" s="22" t="str">
        <f>IF('Personnel Yr 1'!$J$5&gt;1,IF(ISBLANK('Personnel Yr 1'!D50),"",'Personnel Yr 1'!D50),"")</f>
        <v/>
      </c>
      <c r="E50" s="22" t="str">
        <f>IF('Personnel Yr 1'!$J$5&gt;1,IF(ISBLANK('Personnel Yr 1'!E50),"",'Personnel Yr 1'!E50),"")</f>
        <v/>
      </c>
      <c r="F50" s="22" t="str">
        <f>IF('Personnel Yr 1'!$J$5&gt;1,IF(ISBLANK('Personnel Yr 1'!F50),"",'Personnel Yr 1'!F50),"")</f>
        <v/>
      </c>
      <c r="G50" s="22" t="str">
        <f>IF('Personnel Yr 1'!$J$5&gt;1,IF(ISBLANK('Personnel Yr 1'!G50),"",'Personnel Yr 1'!G50),"")</f>
        <v/>
      </c>
      <c r="H50" s="42" t="str">
        <f>IF('Personnel Yr 1'!$J$5&gt;1,IF(NOT(ISBLANK('Personnel Yr 1'!H50)),(('Personnel Yr 1'!H50*'Personnel Yr 1'!$D$5)+'Personnel Yr 1'!H50),""),"")</f>
        <v/>
      </c>
      <c r="I50" s="22" t="str">
        <f>IF('Personnel Yr 1'!$J$5&gt;1,IF(AND(OR(ISBLANK($H50),$H50=""),ISBLANK('Personnel Yr 1'!I50)),"",'Personnel Yr 1'!I50),"")</f>
        <v/>
      </c>
      <c r="J50" s="22" t="str">
        <f>IF('Personnel Yr 1'!$J$5&gt;1,IF(AND(OR(ISBLANK($H50),$H50=""),ISBLANK('Personnel Yr 1'!J50)),"",'Personnel Yr 1'!J50),"")</f>
        <v/>
      </c>
      <c r="K50" s="22" t="str">
        <f>IF('Personnel Yr 1'!$J$5&gt;1,IF(AND(OR(ISBLANK($H50),$H50=""),ISBLANK('Personnel Yr 1'!K50)),"",'Personnel Yr 1'!K50),"")</f>
        <v/>
      </c>
      <c r="L50" s="44" t="str">
        <f>IF('Personnel Yr 1'!$J$5&gt;1,IF(NOT(OR(ISBLANK(H50),H50="")),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1'!$J$5&gt;1,IF(OR(ISBLANK(L50),L50=""),"",ROUND(SUM(T50:V50),2)),"")</f>
        <v/>
      </c>
      <c r="N50" s="51" t="str">
        <f>IF('Personnel Yr 1'!$J$5&gt;1,IF(OR(ISBLANK(M50),M50=""),"",ROUND(SUM(L50:M50),2)),"")</f>
        <v/>
      </c>
      <c r="O50" s="159"/>
      <c r="P50" s="347" t="str">
        <f>IF('Personnel Yr 1'!$J$5&gt;1,IF(NOT(OR(ISBLANK(I50),I50="")),(H50/12)*I50,""),0)</f>
        <v/>
      </c>
      <c r="Q50" s="347" t="str">
        <f>IF('Personnel Yr 1'!$J$5&gt;1,IF(NOT(OR(ISBLANK(J50),J50="")),(H50/8.5)*J50,""),0)</f>
        <v/>
      </c>
      <c r="R50" s="347" t="str">
        <f>IF('Personnel Yr 1'!$J$5&gt;1,IF(NOT(OR(ISBLANK(K50),K50="")),(H50/8.5)*K50,""),0)</f>
        <v/>
      </c>
      <c r="S50" s="347"/>
      <c r="T50" s="347">
        <f t="shared" si="2"/>
        <v>0</v>
      </c>
      <c r="U50" s="347">
        <f t="shared" si="3"/>
        <v>0</v>
      </c>
      <c r="V50" s="347">
        <f t="shared" si="4"/>
        <v>0</v>
      </c>
      <c r="Y50" s="336" t="b">
        <f>IF('Personnel Yr 1'!$J$5&gt;1,IF(OR($N$5&lt;&gt;"Federal - NIH",OR(AND(ISBLANK(I50),ISBLANK(J50),ISBLANK(K50)),AND(I50="",J50="",K50=""))),FALSE,IF(I50&gt;0,H50&gt;NIHSalaryCap,H50&gt;(NIHSalaryCap*8.5)/12)),FALSE)</f>
        <v>0</v>
      </c>
    </row>
    <row r="51" spans="1:25" hidden="1" x14ac:dyDescent="0.2">
      <c r="A51" s="5">
        <v>8</v>
      </c>
      <c r="B51" s="75" t="str">
        <f>IF('Personnel Yr 1'!$J$5&gt;1,IF(NOT(OR(ISBLANK('Personnel Yr 1'!B51),'Personnel Yr 1'!B51="")),'Personnel Yr 1'!B51,""),"")</f>
        <v/>
      </c>
      <c r="C51" s="69" t="str">
        <f>IF('Personnel Yr 1'!$J$5&gt;1,IF(ISBLANK('Personnel Yr 1'!C51),"",'Personnel Yr 1'!C51),"")</f>
        <v/>
      </c>
      <c r="D51" s="69" t="str">
        <f>IF('Personnel Yr 1'!$J$5&gt;1,IF(ISBLANK('Personnel Yr 1'!D51),"",'Personnel Yr 1'!D51),"")</f>
        <v/>
      </c>
      <c r="E51" s="69" t="str">
        <f>IF('Personnel Yr 1'!$J$5&gt;1,IF(ISBLANK('Personnel Yr 1'!E51),"",'Personnel Yr 1'!E51),"")</f>
        <v/>
      </c>
      <c r="F51" s="69" t="str">
        <f>IF('Personnel Yr 1'!$J$5&gt;1,IF(ISBLANK('Personnel Yr 1'!F51),"",'Personnel Yr 1'!F51),"")</f>
        <v/>
      </c>
      <c r="G51" s="69" t="str">
        <f>IF('Personnel Yr 1'!$J$5&gt;1,IF(ISBLANK('Personnel Yr 1'!G51),"",'Personnel Yr 1'!G51),"")</f>
        <v/>
      </c>
      <c r="H51" s="42" t="str">
        <f>IF('Personnel Yr 1'!$J$5&gt;1,IF(NOT(ISBLANK('Personnel Yr 1'!H51)),(('Personnel Yr 1'!H51*'Personnel Yr 1'!$D$5)+'Personnel Yr 1'!H51),""),"")</f>
        <v/>
      </c>
      <c r="I51" s="22" t="str">
        <f>IF('Personnel Yr 1'!$J$5&gt;1,IF(AND(OR(ISBLANK($H51),$H51=""),ISBLANK('Personnel Yr 1'!I51)),"",'Personnel Yr 1'!I51),"")</f>
        <v/>
      </c>
      <c r="J51" s="22" t="str">
        <f>IF('Personnel Yr 1'!$J$5&gt;1,IF(AND(OR(ISBLANK($H51),$H51=""),ISBLANK('Personnel Yr 1'!J51)),"",'Personnel Yr 1'!J51),"")</f>
        <v/>
      </c>
      <c r="K51" s="22" t="str">
        <f>IF('Personnel Yr 1'!$J$5&gt;1,IF(AND(OR(ISBLANK($H51),$H51=""),ISBLANK('Personnel Yr 1'!K51)),"",'Personnel Yr 1'!K51),"")</f>
        <v/>
      </c>
      <c r="L51" s="155" t="str">
        <f>IF('Personnel Yr 1'!$J$5&gt;1,IF(NOT(OR(ISBLANK(H51),H51="")),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1'!$J$5&gt;1,IF(OR(ISBLANK(L51),L51=""),"",ROUND(SUM(T51:V51),2)),"")</f>
        <v/>
      </c>
      <c r="N51" s="50" t="str">
        <f>IF('Personnel Yr 1'!$J$5&gt;1,IF(OR(ISBLANK(M51),M51=""),"",ROUND(SUM(L51:M51),2)),"")</f>
        <v/>
      </c>
      <c r="O51" s="182"/>
      <c r="P51" s="347" t="str">
        <f>IF('Personnel Yr 1'!$J$5&gt;1,IF(NOT(OR(ISBLANK(I51),I51="")),(H51/12)*I51,""),0)</f>
        <v/>
      </c>
      <c r="Q51" s="347" t="str">
        <f>IF('Personnel Yr 1'!$J$5&gt;1,IF(NOT(OR(ISBLANK(J51),J51="")),(H51/8.5)*J51,""),0)</f>
        <v/>
      </c>
      <c r="R51" s="347" t="str">
        <f>IF('Personnel Yr 1'!$J$5&gt;1,IF(NOT(OR(ISBLANK(K51),K51="")),(H51/8.5)*K51,""),0)</f>
        <v/>
      </c>
      <c r="S51" s="347"/>
      <c r="T51" s="347">
        <f t="shared" si="2"/>
        <v>0</v>
      </c>
      <c r="U51" s="347">
        <f t="shared" si="3"/>
        <v>0</v>
      </c>
      <c r="V51" s="347">
        <f t="shared" si="4"/>
        <v>0</v>
      </c>
      <c r="Y51" s="336" t="b">
        <f>IF('Personnel Yr 1'!$J$5&gt;1,IF(OR($N$5&lt;&gt;"Federal - NIH",OR(AND(ISBLANK(I51),ISBLANK(J51),ISBLANK(K51)),AND(I51="",J51="",K51=""))),FALSE,IF(I51&gt;0,H51&gt;NIHSalaryCap,H51&gt;(NIHSalaryCap*8.5)/12)),FALSE)</f>
        <v>0</v>
      </c>
    </row>
    <row r="52" spans="1:25" hidden="1" x14ac:dyDescent="0.2">
      <c r="A52" s="5">
        <v>9</v>
      </c>
      <c r="B52" s="6" t="str">
        <f>IF('Personnel Yr 1'!$J$5&gt;1,IF(NOT(OR(ISBLANK('Personnel Yr 1'!B52),'Personnel Yr 1'!B52="")),'Personnel Yr 1'!B52,""),"")</f>
        <v/>
      </c>
      <c r="C52" s="22" t="str">
        <f>IF('Personnel Yr 1'!$J$5&gt;1,IF(ISBLANK('Personnel Yr 1'!C52),"",'Personnel Yr 1'!C52),"")</f>
        <v/>
      </c>
      <c r="D52" s="22" t="str">
        <f>IF('Personnel Yr 1'!$J$5&gt;1,IF(ISBLANK('Personnel Yr 1'!D52),"",'Personnel Yr 1'!D52),"")</f>
        <v/>
      </c>
      <c r="E52" s="22" t="str">
        <f>IF('Personnel Yr 1'!$J$5&gt;1,IF(ISBLANK('Personnel Yr 1'!E52),"",'Personnel Yr 1'!E52),"")</f>
        <v/>
      </c>
      <c r="F52" s="22" t="str">
        <f>IF('Personnel Yr 1'!$J$5&gt;1,IF(ISBLANK('Personnel Yr 1'!F52),"",'Personnel Yr 1'!F52),"")</f>
        <v/>
      </c>
      <c r="G52" s="71" t="str">
        <f>IF('Personnel Yr 1'!$J$5&gt;1,IF(ISBLANK('Personnel Yr 1'!G52),"",'Personnel Yr 1'!G52),"")</f>
        <v/>
      </c>
      <c r="H52" s="42" t="str">
        <f>IF('Personnel Yr 1'!$J$5&gt;1,IF(NOT(ISBLANK('Personnel Yr 1'!H52)),(('Personnel Yr 1'!H52*'Personnel Yr 1'!$D$5)+'Personnel Yr 1'!H52),""),"")</f>
        <v/>
      </c>
      <c r="I52" s="22" t="str">
        <f>IF('Personnel Yr 1'!$J$5&gt;1,IF(AND(OR(ISBLANK($H52),$H52=""),ISBLANK('Personnel Yr 1'!I52)),"",'Personnel Yr 1'!I52),"")</f>
        <v/>
      </c>
      <c r="J52" s="22" t="str">
        <f>IF('Personnel Yr 1'!$J$5&gt;1,IF(AND(OR(ISBLANK($H52),$H52=""),ISBLANK('Personnel Yr 1'!J52)),"",'Personnel Yr 1'!J52),"")</f>
        <v/>
      </c>
      <c r="K52" s="22" t="str">
        <f>IF('Personnel Yr 1'!$J$5&gt;1,IF(AND(OR(ISBLANK($H52),$H52=""),ISBLANK('Personnel Yr 1'!K52)),"",'Personnel Yr 1'!K52),"")</f>
        <v/>
      </c>
      <c r="L52" s="156" t="str">
        <f>IF('Personnel Yr 1'!$J$5&gt;1,IF(NOT(OR(ISBLANK(H52),H52="")),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1'!$J$5&gt;1,IF(OR(ISBLANK(L52),L52=""),"",ROUND(SUM(T52:V52),2)),"")</f>
        <v/>
      </c>
      <c r="N52" s="51" t="str">
        <f>IF('Personnel Yr 1'!$J$5&gt;1,IF(OR(ISBLANK(M52),M52=""),"",ROUND(SUM(L52:M52),2)),"")</f>
        <v/>
      </c>
      <c r="O52" s="159"/>
      <c r="P52" s="347" t="str">
        <f>IF('Personnel Yr 1'!$J$5&gt;1,IF(NOT(OR(ISBLANK(I52),I52="")),(H52/12)*I52,""),0)</f>
        <v/>
      </c>
      <c r="Q52" s="347" t="str">
        <f>IF('Personnel Yr 1'!$J$5&gt;1,IF(NOT(OR(ISBLANK(J52),J52="")),(H52/8.5)*J52,""),0)</f>
        <v/>
      </c>
      <c r="R52" s="347" t="str">
        <f>IF('Personnel Yr 1'!$J$5&gt;1,IF(NOT(OR(ISBLANK(K52),K52="")),(H52/8.5)*K52,""),0)</f>
        <v/>
      </c>
      <c r="S52" s="347"/>
      <c r="T52" s="347">
        <f t="shared" ref="T52:T58" si="5">IF(OR(ISBLANK(P52),P52=""),0,P52*LOOKUP("Full",Ben,Per))</f>
        <v>0</v>
      </c>
      <c r="U52" s="347">
        <f t="shared" ref="U52:U58" si="6">IF(OR(ISBLANK(Q52),Q52=""),0,Q52*LOOKUP("Full",Ben,Per))</f>
        <v>0</v>
      </c>
      <c r="V52" s="347">
        <f t="shared" ref="V52:V58" si="7">IF(OR(ISBLANK(R52),R52=""),0,R52*LOOKUP("Summer",Ben,Per))</f>
        <v>0</v>
      </c>
      <c r="Y52" s="336" t="b">
        <f>IF('Personnel Yr 1'!$J$5&gt;1,IF(OR($N$5&lt;&gt;"Federal - NIH",OR(AND(ISBLANK(I52),ISBLANK(J52),ISBLANK(K52)),AND(I52="",J52="",K52=""))),FALSE,IF(I52&gt;0,H52&gt;NIHSalaryCap,H52&gt;(NIHSalaryCap*8.5)/12)),FALSE)</f>
        <v>0</v>
      </c>
    </row>
    <row r="53" spans="1:25" hidden="1" x14ac:dyDescent="0.2">
      <c r="A53" s="5">
        <v>10</v>
      </c>
      <c r="B53" s="6" t="str">
        <f>IF('Personnel Yr 1'!$J$5&gt;1,IF(NOT(OR(ISBLANK('Personnel Yr 1'!B53),'Personnel Yr 1'!B53="")),'Personnel Yr 1'!B53,""),"")</f>
        <v/>
      </c>
      <c r="C53" s="22" t="str">
        <f>IF('Personnel Yr 1'!$J$5&gt;1,IF(ISBLANK('Personnel Yr 1'!C53),"",'Personnel Yr 1'!C53),"")</f>
        <v/>
      </c>
      <c r="D53" s="22" t="str">
        <f>IF('Personnel Yr 1'!$J$5&gt;1,IF(ISBLANK('Personnel Yr 1'!D53),"",'Personnel Yr 1'!D53),"")</f>
        <v/>
      </c>
      <c r="E53" s="22" t="str">
        <f>IF('Personnel Yr 1'!$J$5&gt;1,IF(ISBLANK('Personnel Yr 1'!E53),"",'Personnel Yr 1'!E53),"")</f>
        <v/>
      </c>
      <c r="F53" s="22" t="str">
        <f>IF('Personnel Yr 1'!$J$5&gt;1,IF(ISBLANK('Personnel Yr 1'!F53),"",'Personnel Yr 1'!F53),"")</f>
        <v/>
      </c>
      <c r="G53" s="22" t="str">
        <f>IF('Personnel Yr 1'!$J$5&gt;1,IF(ISBLANK('Personnel Yr 1'!G53),"",'Personnel Yr 1'!G53),"")</f>
        <v/>
      </c>
      <c r="H53" s="42" t="str">
        <f>IF('Personnel Yr 1'!$J$5&gt;1,IF(NOT(ISBLANK('Personnel Yr 1'!H53)),(('Personnel Yr 1'!H53*'Personnel Yr 1'!$D$5)+'Personnel Yr 1'!H53),""),"")</f>
        <v/>
      </c>
      <c r="I53" s="22" t="str">
        <f>IF('Personnel Yr 1'!$J$5&gt;1,IF(AND(OR(ISBLANK($H53),$H53=""),ISBLANK('Personnel Yr 1'!I53)),"",'Personnel Yr 1'!I53),"")</f>
        <v/>
      </c>
      <c r="J53" s="22" t="str">
        <f>IF('Personnel Yr 1'!$J$5&gt;1,IF(AND(OR(ISBLANK($H53),$H53=""),ISBLANK('Personnel Yr 1'!J53)),"",'Personnel Yr 1'!J53),"")</f>
        <v/>
      </c>
      <c r="K53" s="22" t="str">
        <f>IF('Personnel Yr 1'!$J$5&gt;1,IF(AND(OR(ISBLANK($H53),$H53=""),ISBLANK('Personnel Yr 1'!K53)),"",'Personnel Yr 1'!K53),"")</f>
        <v/>
      </c>
      <c r="L53" s="156" t="str">
        <f>IF('Personnel Yr 1'!$J$5&gt;1,IF(NOT(OR(ISBLANK(H53),H53="")),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1'!$J$5&gt;1,IF(OR(ISBLANK(L53),L53=""),"",ROUND(SUM(T53:V53),2)),"")</f>
        <v/>
      </c>
      <c r="N53" s="51" t="str">
        <f>IF('Personnel Yr 1'!$J$5&gt;1,IF(OR(ISBLANK(M53),M53=""),"",ROUND(SUM(L53:M53),2)),"")</f>
        <v/>
      </c>
      <c r="O53" s="159"/>
      <c r="P53" s="347" t="str">
        <f>IF('Personnel Yr 1'!$J$5&gt;1,IF(NOT(OR(ISBLANK(I53),I53="")),(H53/12)*I53,""),0)</f>
        <v/>
      </c>
      <c r="Q53" s="347" t="str">
        <f>IF('Personnel Yr 1'!$J$5&gt;1,IF(NOT(OR(ISBLANK(J53),J53="")),(H53/8.5)*J53,""),0)</f>
        <v/>
      </c>
      <c r="R53" s="347" t="str">
        <f>IF('Personnel Yr 1'!$J$5&gt;1,IF(NOT(OR(ISBLANK(K53),K53="")),(H53/8.5)*K53,""),0)</f>
        <v/>
      </c>
      <c r="S53" s="347"/>
      <c r="T53" s="347">
        <f t="shared" si="5"/>
        <v>0</v>
      </c>
      <c r="U53" s="347">
        <f t="shared" si="6"/>
        <v>0</v>
      </c>
      <c r="V53" s="347">
        <f t="shared" si="7"/>
        <v>0</v>
      </c>
      <c r="Y53" s="336" t="b">
        <f>IF('Personnel Yr 1'!$J$5&gt;1,IF(OR($N$5&lt;&gt;"Federal - NIH",OR(AND(ISBLANK(I53),ISBLANK(J53),ISBLANK(K53)),AND(I53="",J53="",K53=""))),FALSE,IF(I53&gt;0,H53&gt;NIHSalaryCap,H53&gt;(NIHSalaryCap*8.5)/12)),FALSE)</f>
        <v>0</v>
      </c>
    </row>
    <row r="54" spans="1:25" hidden="1" x14ac:dyDescent="0.2">
      <c r="A54" s="5">
        <v>11</v>
      </c>
      <c r="B54" s="6" t="str">
        <f>IF('Personnel Yr 1'!$J$5&gt;1,IF(NOT(OR(ISBLANK('Personnel Yr 1'!B54),'Personnel Yr 1'!B54="")),'Personnel Yr 1'!B54,""),"")</f>
        <v/>
      </c>
      <c r="C54" s="22" t="str">
        <f>IF('Personnel Yr 1'!$J$5&gt;1,IF(ISBLANK('Personnel Yr 1'!C54),"",'Personnel Yr 1'!C54),"")</f>
        <v/>
      </c>
      <c r="D54" s="22" t="str">
        <f>IF('Personnel Yr 1'!$J$5&gt;1,IF(ISBLANK('Personnel Yr 1'!D54),"",'Personnel Yr 1'!D54),"")</f>
        <v/>
      </c>
      <c r="E54" s="22" t="str">
        <f>IF('Personnel Yr 1'!$J$5&gt;1,IF(ISBLANK('Personnel Yr 1'!E54),"",'Personnel Yr 1'!E54),"")</f>
        <v/>
      </c>
      <c r="F54" s="22" t="str">
        <f>IF('Personnel Yr 1'!$J$5&gt;1,IF(ISBLANK('Personnel Yr 1'!F54),"",'Personnel Yr 1'!F54),"")</f>
        <v/>
      </c>
      <c r="G54" s="22" t="str">
        <f>IF('Personnel Yr 1'!$J$5&gt;1,IF(ISBLANK('Personnel Yr 1'!G54),"",'Personnel Yr 1'!G54),"")</f>
        <v/>
      </c>
      <c r="H54" s="42" t="str">
        <f>IF('Personnel Yr 1'!$J$5&gt;1,IF(NOT(ISBLANK('Personnel Yr 1'!H54)),(('Personnel Yr 1'!H54*'Personnel Yr 1'!$D$5)+'Personnel Yr 1'!H54),""),"")</f>
        <v/>
      </c>
      <c r="I54" s="22" t="str">
        <f>IF('Personnel Yr 1'!$J$5&gt;1,IF(AND(OR(ISBLANK($H54),$H54=""),ISBLANK('Personnel Yr 1'!I54)),"",'Personnel Yr 1'!I54),"")</f>
        <v/>
      </c>
      <c r="J54" s="22" t="str">
        <f>IF('Personnel Yr 1'!$J$5&gt;1,IF(AND(OR(ISBLANK($H54),$H54=""),ISBLANK('Personnel Yr 1'!J54)),"",'Personnel Yr 1'!J54),"")</f>
        <v/>
      </c>
      <c r="K54" s="22" t="str">
        <f>IF('Personnel Yr 1'!$J$5&gt;1,IF(AND(OR(ISBLANK($H54),$H54=""),ISBLANK('Personnel Yr 1'!K54)),"",'Personnel Yr 1'!K54),"")</f>
        <v/>
      </c>
      <c r="L54" s="44" t="str">
        <f>IF('Personnel Yr 1'!$J$5&gt;1,IF(NOT(OR(ISBLANK(H54),H54="")),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1'!$J$5&gt;1,IF(OR(ISBLANK(L54),L54=""),"",ROUND(SUM(T54:V54),2)),"")</f>
        <v/>
      </c>
      <c r="N54" s="51" t="str">
        <f>IF('Personnel Yr 1'!$J$5&gt;1,IF(OR(ISBLANK(M54),M54=""),"",ROUND(SUM(L54:M54),2)),"")</f>
        <v/>
      </c>
      <c r="O54" s="157"/>
      <c r="P54" s="347" t="str">
        <f>IF('Personnel Yr 1'!$J$5&gt;1,IF(NOT(OR(ISBLANK(I54),I54="")),(H54/12)*I54,""),0)</f>
        <v/>
      </c>
      <c r="Q54" s="347" t="str">
        <f>IF('Personnel Yr 1'!$J$5&gt;1,IF(NOT(OR(ISBLANK(J54),J54="")),(H54/8.5)*J54,""),0)</f>
        <v/>
      </c>
      <c r="R54" s="347" t="str">
        <f>IF('Personnel Yr 1'!$J$5&gt;1,IF(NOT(OR(ISBLANK(K54),K54="")),(H54/8.5)*K54,""),0)</f>
        <v/>
      </c>
      <c r="S54" s="347"/>
      <c r="T54" s="347">
        <f t="shared" si="5"/>
        <v>0</v>
      </c>
      <c r="U54" s="347">
        <f t="shared" si="6"/>
        <v>0</v>
      </c>
      <c r="V54" s="347">
        <f t="shared" si="7"/>
        <v>0</v>
      </c>
      <c r="Y54" s="336" t="b">
        <f>IF('Personnel Yr 1'!$J$5&gt;1,IF(OR($N$5&lt;&gt;"Federal - NIH",OR(AND(ISBLANK(I54),ISBLANK(J54),ISBLANK(K54)),AND(I54="",J54="",K54=""))),FALSE,IF(I54&gt;0,H54&gt;NIHSalaryCap,H54&gt;(NIHSalaryCap*8.5)/12)),FALSE)</f>
        <v>0</v>
      </c>
    </row>
    <row r="55" spans="1:25" hidden="1" x14ac:dyDescent="0.2">
      <c r="A55" s="5">
        <v>12</v>
      </c>
      <c r="B55" s="6" t="str">
        <f>IF('Personnel Yr 1'!$J$5&gt;1,IF(NOT(OR(ISBLANK('Personnel Yr 1'!B55),'Personnel Yr 1'!B55="")),'Personnel Yr 1'!B55,""),"")</f>
        <v/>
      </c>
      <c r="C55" s="22" t="str">
        <f>IF('Personnel Yr 1'!$J$5&gt;1,IF(ISBLANK('Personnel Yr 1'!C55),"",'Personnel Yr 1'!C55),"")</f>
        <v/>
      </c>
      <c r="D55" s="22" t="str">
        <f>IF('Personnel Yr 1'!$J$5&gt;1,IF(ISBLANK('Personnel Yr 1'!D55),"",'Personnel Yr 1'!D55),"")</f>
        <v/>
      </c>
      <c r="E55" s="22" t="str">
        <f>IF('Personnel Yr 1'!$J$5&gt;1,IF(ISBLANK('Personnel Yr 1'!E55),"",'Personnel Yr 1'!E55),"")</f>
        <v/>
      </c>
      <c r="F55" s="22" t="str">
        <f>IF('Personnel Yr 1'!$J$5&gt;1,IF(ISBLANK('Personnel Yr 1'!F55),"",'Personnel Yr 1'!F55),"")</f>
        <v/>
      </c>
      <c r="G55" s="22" t="str">
        <f>IF('Personnel Yr 1'!$J$5&gt;1,IF(ISBLANK('Personnel Yr 1'!G55),"",'Personnel Yr 1'!G55),"")</f>
        <v/>
      </c>
      <c r="H55" s="42" t="str">
        <f>IF('Personnel Yr 1'!$J$5&gt;1,IF(NOT(ISBLANK('Personnel Yr 1'!H55)),(('Personnel Yr 1'!H55*'Personnel Yr 1'!$D$5)+'Personnel Yr 1'!H55),""),"")</f>
        <v/>
      </c>
      <c r="I55" s="22" t="str">
        <f>IF('Personnel Yr 1'!$J$5&gt;1,IF(AND(OR(ISBLANK($H55),$H55=""),ISBLANK('Personnel Yr 1'!I55)),"",'Personnel Yr 1'!I55),"")</f>
        <v/>
      </c>
      <c r="J55" s="22" t="str">
        <f>IF('Personnel Yr 1'!$J$5&gt;1,IF(AND(OR(ISBLANK($H55),$H55=""),ISBLANK('Personnel Yr 1'!J55)),"",'Personnel Yr 1'!J55),"")</f>
        <v/>
      </c>
      <c r="K55" s="22" t="str">
        <f>IF('Personnel Yr 1'!$J$5&gt;1,IF(AND(OR(ISBLANK($H55),$H55=""),ISBLANK('Personnel Yr 1'!K55)),"",'Personnel Yr 1'!K55),"")</f>
        <v/>
      </c>
      <c r="L55" s="44" t="str">
        <f>IF('Personnel Yr 1'!$J$5&gt;1,IF(NOT(OR(ISBLANK(H55),H55="")),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1'!$J$5&gt;1,IF(OR(ISBLANK(L55),L55=""),"",ROUND(SUM(T55:V55),2)),"")</f>
        <v/>
      </c>
      <c r="N55" s="51" t="str">
        <f>IF('Personnel Yr 1'!$J$5&gt;1,IF(OR(ISBLANK(M55),M55=""),"",ROUND(SUM(L55:M55),2)),"")</f>
        <v/>
      </c>
      <c r="O55" s="159"/>
      <c r="P55" s="347" t="str">
        <f>IF('Personnel Yr 1'!$J$5&gt;1,IF(NOT(OR(ISBLANK(I55),I55="")),(H55/12)*I55,""),0)</f>
        <v/>
      </c>
      <c r="Q55" s="347" t="str">
        <f>IF('Personnel Yr 1'!$J$5&gt;1,IF(NOT(OR(ISBLANK(J55),J55="")),(H55/8.5)*J55,""),0)</f>
        <v/>
      </c>
      <c r="R55" s="347" t="str">
        <f>IF('Personnel Yr 1'!$J$5&gt;1,IF(NOT(OR(ISBLANK(K55),K55="")),(H55/8.5)*K55,""),0)</f>
        <v/>
      </c>
      <c r="S55" s="347"/>
      <c r="T55" s="347">
        <f t="shared" si="5"/>
        <v>0</v>
      </c>
      <c r="U55" s="347">
        <f t="shared" si="6"/>
        <v>0</v>
      </c>
      <c r="V55" s="347">
        <f t="shared" si="7"/>
        <v>0</v>
      </c>
      <c r="Y55" s="336" t="b">
        <f>IF('Personnel Yr 1'!$J$5&gt;1,IF(OR($N$5&lt;&gt;"Federal - NIH",OR(AND(ISBLANK(I55),ISBLANK(J55),ISBLANK(K55)),AND(I55="",J55="",K55=""))),FALSE,IF(I55&gt;0,H55&gt;NIHSalaryCap,H55&gt;(NIHSalaryCap*8.5)/12)),FALSE)</f>
        <v>0</v>
      </c>
    </row>
    <row r="56" spans="1:25" hidden="1" x14ac:dyDescent="0.2">
      <c r="A56" s="5">
        <v>13</v>
      </c>
      <c r="B56" s="75" t="str">
        <f>IF('Personnel Yr 1'!$J$5&gt;1,IF(NOT(OR(ISBLANK('Personnel Yr 1'!B56),'Personnel Yr 1'!B56="")),'Personnel Yr 1'!B56,""),"")</f>
        <v/>
      </c>
      <c r="C56" s="69" t="str">
        <f>IF('Personnel Yr 1'!$J$5&gt;1,IF(ISBLANK('Personnel Yr 1'!C56),"",'Personnel Yr 1'!C56),"")</f>
        <v/>
      </c>
      <c r="D56" s="69" t="str">
        <f>IF('Personnel Yr 1'!$J$5&gt;1,IF(ISBLANK('Personnel Yr 1'!D56),"",'Personnel Yr 1'!D56),"")</f>
        <v/>
      </c>
      <c r="E56" s="69" t="str">
        <f>IF('Personnel Yr 1'!$J$5&gt;1,IF(ISBLANK('Personnel Yr 1'!E56),"",'Personnel Yr 1'!E56),"")</f>
        <v/>
      </c>
      <c r="F56" s="69" t="str">
        <f>IF('Personnel Yr 1'!$J$5&gt;1,IF(ISBLANK('Personnel Yr 1'!F56),"",'Personnel Yr 1'!F56),"")</f>
        <v/>
      </c>
      <c r="G56" s="69" t="str">
        <f>IF('Personnel Yr 1'!$J$5&gt;1,IF(ISBLANK('Personnel Yr 1'!G56),"",'Personnel Yr 1'!G56),"")</f>
        <v/>
      </c>
      <c r="H56" s="42" t="str">
        <f>IF('Personnel Yr 1'!$J$5&gt;1,IF(NOT(ISBLANK('Personnel Yr 1'!H56)),(('Personnel Yr 1'!H56*'Personnel Yr 1'!$D$5)+'Personnel Yr 1'!H56),""),"")</f>
        <v/>
      </c>
      <c r="I56" s="22" t="str">
        <f>IF('Personnel Yr 1'!$J$5&gt;1,IF(AND(OR(ISBLANK($H56),$H56=""),ISBLANK('Personnel Yr 1'!I56)),"",'Personnel Yr 1'!I56),"")</f>
        <v/>
      </c>
      <c r="J56" s="22" t="str">
        <f>IF('Personnel Yr 1'!$J$5&gt;1,IF(AND(OR(ISBLANK($H56),$H56=""),ISBLANK('Personnel Yr 1'!J56)),"",'Personnel Yr 1'!J56),"")</f>
        <v/>
      </c>
      <c r="K56" s="22" t="str">
        <f>IF('Personnel Yr 1'!$J$5&gt;1,IF(AND(OR(ISBLANK($H56),$H56=""),ISBLANK('Personnel Yr 1'!K56)),"",'Personnel Yr 1'!K56),"")</f>
        <v/>
      </c>
      <c r="L56" s="155" t="str">
        <f>IF('Personnel Yr 1'!$J$5&gt;1,IF(NOT(OR(ISBLANK(H56),H56="")),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1'!$J$5&gt;1,IF(OR(ISBLANK(L56),L56=""),"",ROUND(SUM(T56:V56),2)),"")</f>
        <v/>
      </c>
      <c r="N56" s="50" t="str">
        <f>IF('Personnel Yr 1'!$J$5&gt;1,IF(OR(ISBLANK(M56),M56=""),"",ROUND(SUM(L56:M56),2)),"")</f>
        <v/>
      </c>
      <c r="O56" s="182"/>
      <c r="P56" s="347" t="str">
        <f>IF('Personnel Yr 1'!$J$5&gt;1,IF(NOT(OR(ISBLANK(I56),I56="")),(H56/12)*I56,""),0)</f>
        <v/>
      </c>
      <c r="Q56" s="347" t="str">
        <f>IF('Personnel Yr 1'!$J$5&gt;1,IF(NOT(OR(ISBLANK(J56),J56="")),(H56/8.5)*J56,""),0)</f>
        <v/>
      </c>
      <c r="R56" s="347" t="str">
        <f>IF('Personnel Yr 1'!$J$5&gt;1,IF(NOT(OR(ISBLANK(K56),K56="")),(H56/8.5)*K56,""),0)</f>
        <v/>
      </c>
      <c r="S56" s="347"/>
      <c r="T56" s="347">
        <f t="shared" si="5"/>
        <v>0</v>
      </c>
      <c r="U56" s="347">
        <f t="shared" si="6"/>
        <v>0</v>
      </c>
      <c r="V56" s="347">
        <f t="shared" si="7"/>
        <v>0</v>
      </c>
      <c r="Y56" s="336" t="b">
        <f>IF('Personnel Yr 1'!$J$5&gt;1,IF(OR($N$5&lt;&gt;"Federal - NIH",OR(AND(ISBLANK(I56),ISBLANK(J56),ISBLANK(K56)),AND(I56="",J56="",K56=""))),FALSE,IF(I56&gt;0,H56&gt;NIHSalaryCap,H56&gt;(NIHSalaryCap*8.5)/12)),FALSE)</f>
        <v>0</v>
      </c>
    </row>
    <row r="57" spans="1:25" hidden="1" x14ac:dyDescent="0.2">
      <c r="A57" s="5">
        <v>14</v>
      </c>
      <c r="B57" s="6" t="str">
        <f>IF('Personnel Yr 1'!$J$5&gt;1,IF(NOT(OR(ISBLANK('Personnel Yr 1'!B57),'Personnel Yr 1'!B57="")),'Personnel Yr 1'!B57,""),"")</f>
        <v/>
      </c>
      <c r="C57" s="22" t="str">
        <f>IF('Personnel Yr 1'!$J$5&gt;1,IF(ISBLANK('Personnel Yr 1'!C57),"",'Personnel Yr 1'!C57),"")</f>
        <v/>
      </c>
      <c r="D57" s="22" t="str">
        <f>IF('Personnel Yr 1'!$J$5&gt;1,IF(ISBLANK('Personnel Yr 1'!D57),"",'Personnel Yr 1'!D57),"")</f>
        <v/>
      </c>
      <c r="E57" s="22" t="str">
        <f>IF('Personnel Yr 1'!$J$5&gt;1,IF(ISBLANK('Personnel Yr 1'!E57),"",'Personnel Yr 1'!E57),"")</f>
        <v/>
      </c>
      <c r="F57" s="22" t="str">
        <f>IF('Personnel Yr 1'!$J$5&gt;1,IF(ISBLANK('Personnel Yr 1'!F57),"",'Personnel Yr 1'!F57),"")</f>
        <v/>
      </c>
      <c r="G57" s="22" t="str">
        <f>IF('Personnel Yr 1'!$J$5&gt;1,IF(ISBLANK('Personnel Yr 1'!G57),"",'Personnel Yr 1'!G57),"")</f>
        <v/>
      </c>
      <c r="H57" s="42" t="str">
        <f>IF('Personnel Yr 1'!$J$5&gt;1,IF(NOT(ISBLANK('Personnel Yr 1'!H57)),(('Personnel Yr 1'!H57*'Personnel Yr 1'!$D$5)+'Personnel Yr 1'!H57),""),"")</f>
        <v/>
      </c>
      <c r="I57" s="22" t="str">
        <f>IF('Personnel Yr 1'!$J$5&gt;1,IF(AND(OR(ISBLANK($H57),$H57=""),ISBLANK('Personnel Yr 1'!I57)),"",'Personnel Yr 1'!I57),"")</f>
        <v/>
      </c>
      <c r="J57" s="22" t="str">
        <f>IF('Personnel Yr 1'!$J$5&gt;1,IF(AND(OR(ISBLANK($H57),$H57=""),ISBLANK('Personnel Yr 1'!J57)),"",'Personnel Yr 1'!J57),"")</f>
        <v/>
      </c>
      <c r="K57" s="22" t="str">
        <f>IF('Personnel Yr 1'!$J$5&gt;1,IF(AND(OR(ISBLANK($H57),$H57=""),ISBLANK('Personnel Yr 1'!K57)),"",'Personnel Yr 1'!K57),"")</f>
        <v/>
      </c>
      <c r="L57" s="44" t="str">
        <f>IF('Personnel Yr 1'!$J$5&gt;1,IF(NOT(OR(ISBLANK(H57),H57="")),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1'!$J$5&gt;1,IF(OR(ISBLANK(L57),L57=""),"",ROUND(SUM(T57:V57),2)),"")</f>
        <v/>
      </c>
      <c r="N57" s="51" t="str">
        <f>IF('Personnel Yr 1'!$J$5&gt;1,IF(OR(ISBLANK(M57),M57=""),"",ROUND(SUM(L57:M57),2)),"")</f>
        <v/>
      </c>
      <c r="O57" s="157"/>
      <c r="P57" s="347" t="str">
        <f>IF('Personnel Yr 1'!$J$5&gt;1,IF(NOT(OR(ISBLANK(I57),I57="")),(H57/12)*I57,""),0)</f>
        <v/>
      </c>
      <c r="Q57" s="347" t="str">
        <f>IF('Personnel Yr 1'!$J$5&gt;1,IF(NOT(OR(ISBLANK(J57),J57="")),(H57/8.5)*J57,""),0)</f>
        <v/>
      </c>
      <c r="R57" s="347" t="str">
        <f>IF('Personnel Yr 1'!$J$5&gt;1,IF(NOT(OR(ISBLANK(K57),K57="")),(H57/8.5)*K57,""),0)</f>
        <v/>
      </c>
      <c r="S57" s="347"/>
      <c r="T57" s="347">
        <f t="shared" si="5"/>
        <v>0</v>
      </c>
      <c r="U57" s="347">
        <f t="shared" si="6"/>
        <v>0</v>
      </c>
      <c r="V57" s="347">
        <f t="shared" si="7"/>
        <v>0</v>
      </c>
      <c r="Y57" s="336" t="b">
        <f>IF('Personnel Yr 1'!$J$5&gt;1,IF(OR($N$5&lt;&gt;"Federal - NIH",OR(AND(ISBLANK(I57),ISBLANK(J57),ISBLANK(K57)),AND(I57="",J57="",K57=""))),FALSE,IF(I57&gt;0,H57&gt;NIHSalaryCap,H57&gt;(NIHSalaryCap*8.5)/12)),FALSE)</f>
        <v>0</v>
      </c>
    </row>
    <row r="58" spans="1:25" ht="13.5" hidden="1" thickBot="1" x14ac:dyDescent="0.25">
      <c r="A58" s="5">
        <v>15</v>
      </c>
      <c r="B58" s="175" t="str">
        <f>IF('Personnel Yr 1'!$J$5&gt;1,IF(NOT(OR(ISBLANK('Personnel Yr 1'!B58),'Personnel Yr 1'!B58="")),'Personnel Yr 1'!B58,""),"")</f>
        <v/>
      </c>
      <c r="C58" s="29" t="str">
        <f>IF('Personnel Yr 1'!$J$5&gt;1,IF(ISBLANK('Personnel Yr 1'!C58),"",'Personnel Yr 1'!C58),"")</f>
        <v/>
      </c>
      <c r="D58" s="29" t="str">
        <f>IF('Personnel Yr 1'!$J$5&gt;1,IF(ISBLANK('Personnel Yr 1'!D58),"",'Personnel Yr 1'!D58),"")</f>
        <v/>
      </c>
      <c r="E58" s="29" t="str">
        <f>IF('Personnel Yr 1'!$J$5&gt;1,IF(ISBLANK('Personnel Yr 1'!E58),"",'Personnel Yr 1'!E58),"")</f>
        <v/>
      </c>
      <c r="F58" s="29" t="str">
        <f>IF('Personnel Yr 1'!$J$5&gt;1,IF(ISBLANK('Personnel Yr 1'!F58),"",'Personnel Yr 1'!F58),"")</f>
        <v/>
      </c>
      <c r="G58" s="179" t="str">
        <f>IF('Personnel Yr 1'!$J$5&gt;1,IF(ISBLANK('Personnel Yr 1'!G58),"",'Personnel Yr 1'!G58),"")</f>
        <v/>
      </c>
      <c r="H58" s="43" t="str">
        <f>IF('Personnel Yr 1'!$J$5&gt;1,IF(NOT(ISBLANK('Personnel Yr 1'!H58)),(('Personnel Yr 1'!H58*'Personnel Yr 1'!$D$5)+'Personnel Yr 1'!H58),""),"")</f>
        <v/>
      </c>
      <c r="I58" s="29" t="str">
        <f>IF('Personnel Yr 1'!$J$5&gt;1,IF(AND(OR(ISBLANK($H58),$H58=""),ISBLANK('Personnel Yr 1'!I58)),"",'Personnel Yr 1'!I58),"")</f>
        <v/>
      </c>
      <c r="J58" s="29" t="str">
        <f>IF('Personnel Yr 1'!$J$5&gt;1,IF(AND(OR(ISBLANK($H58),$H58=""),ISBLANK('Personnel Yr 1'!J58)),"",'Personnel Yr 1'!J58),"")</f>
        <v/>
      </c>
      <c r="K58" s="29" t="str">
        <f>IF('Personnel Yr 1'!$J$5&gt;1,IF(AND(OR(ISBLANK($H58),$H58=""),ISBLANK('Personnel Yr 1'!K58)),"",'Personnel Yr 1'!K58),"")</f>
        <v/>
      </c>
      <c r="L58" s="180" t="str">
        <f>IF('Personnel Yr 1'!$J$5&gt;1,IF(NOT(OR(ISBLANK(H58),H58="")),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1'!$J$5&gt;1,IF(OR(ISBLANK(L58),L58=""),"",ROUND(SUM(T58:V58),2)),"")</f>
        <v/>
      </c>
      <c r="N58" s="181" t="str">
        <f>IF('Personnel Yr 1'!$J$5&gt;1,IF(OR(ISBLANK(M58),M58=""),"",ROUND(SUM(L58:M58),2)),"")</f>
        <v/>
      </c>
      <c r="O58" s="161"/>
      <c r="P58" s="347" t="str">
        <f>IF('Personnel Yr 1'!$J$5&gt;1,IF(NOT(OR(ISBLANK(I58),I58="")),(H58/12)*I58,""),0)</f>
        <v/>
      </c>
      <c r="Q58" s="347" t="str">
        <f>IF('Personnel Yr 1'!$J$5&gt;1,IF(NOT(OR(ISBLANK(J58),J58="")),(H58/8.5)*J58,""),0)</f>
        <v/>
      </c>
      <c r="R58" s="347" t="str">
        <f>IF('Personnel Yr 1'!$J$5&gt;1,IF(NOT(OR(ISBLANK(K58),K58="")),(H58/8.5)*K58,""),0)</f>
        <v/>
      </c>
      <c r="S58" s="347"/>
      <c r="T58" s="347">
        <f t="shared" si="5"/>
        <v>0</v>
      </c>
      <c r="U58" s="347">
        <f t="shared" si="6"/>
        <v>0</v>
      </c>
      <c r="V58" s="347">
        <f t="shared" si="7"/>
        <v>0</v>
      </c>
      <c r="Y58" s="336" t="b">
        <f>IF('Personnel Yr 1'!$J$5&gt;1,IF(OR($N$5&lt;&gt;"Federal - NIH",OR(AND(ISBLANK(I58),ISBLANK(J58),ISBLANK(K58)),AND(I58="",J58="",K58=""))),FALSE,IF(I58&gt;0,H58&gt;NIHSalaryCap,H58&gt;(NIHSalaryCap*8.5)/12)),FALSE)</f>
        <v>0</v>
      </c>
    </row>
    <row r="59" spans="1:25" ht="13.5" hidden="1" thickBot="1" x14ac:dyDescent="0.25">
      <c r="A59" s="264"/>
      <c r="B59" s="27">
        <f>ROWS(E44:E58)-COUNTIF(E44:E58,"")</f>
        <v>0</v>
      </c>
      <c r="C59" s="264"/>
      <c r="D59" s="264"/>
      <c r="E59" s="264"/>
      <c r="F59" s="264"/>
      <c r="G59" s="264"/>
      <c r="H59" s="264"/>
      <c r="I59" s="264"/>
      <c r="J59" s="264"/>
      <c r="K59" s="264"/>
      <c r="L59" s="264"/>
      <c r="M59" s="264"/>
      <c r="N59" s="56">
        <f>SUM(N44:N58)</f>
        <v>0</v>
      </c>
      <c r="O59" s="264"/>
      <c r="P59" s="336">
        <f>SUM(P44:P58)</f>
        <v>0</v>
      </c>
      <c r="Q59" s="336">
        <f t="shared" ref="Q59:V59" si="8">SUM(Q44:Q58)</f>
        <v>0</v>
      </c>
      <c r="R59" s="336">
        <f t="shared" si="8"/>
        <v>0</v>
      </c>
      <c r="S59" s="336">
        <f t="shared" si="8"/>
        <v>0</v>
      </c>
      <c r="T59" s="336">
        <f t="shared" si="8"/>
        <v>0</v>
      </c>
      <c r="U59" s="336">
        <f t="shared" si="8"/>
        <v>0</v>
      </c>
      <c r="V59" s="336">
        <f t="shared" si="8"/>
        <v>0</v>
      </c>
    </row>
  </sheetData>
  <sheetProtection algorithmName="SHA-512" hashValue="SEVmliEa/RfRotIS7axB4EDV5nUXZMaDGAxh0YeFRV6WIjtbTOTxtMICGFOHkm2wPSyJ+x1avmDNHY9oVToLIg==" saltValue="7AcTj9PPlGnEAYAZEWDjEQ==" spinCount="100000" sheet="1" objects="1" scenarios="1"/>
  <dataConsolidate/>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2 L24:L28">
    <cfRule type="cellIs" dxfId="29" priority="29" stopIfTrue="1" operator="lessThan">
      <formula>1</formula>
    </cfRule>
  </conditionalFormatting>
  <conditionalFormatting sqref="H23">
    <cfRule type="cellIs" dxfId="28" priority="30" stopIfTrue="1" operator="equal">
      <formula>""</formula>
    </cfRule>
  </conditionalFormatting>
  <conditionalFormatting sqref="L23">
    <cfRule type="cellIs" dxfId="27" priority="25" stopIfTrue="1" operator="lessThan">
      <formula>1</formula>
    </cfRule>
  </conditionalFormatting>
  <conditionalFormatting sqref="H7:H14">
    <cfRule type="expression" dxfId="26" priority="24">
      <formula>$Y$7</formula>
    </cfRule>
  </conditionalFormatting>
  <conditionalFormatting sqref="H44:H58">
    <cfRule type="expression" dxfId="25" priority="1">
      <formula>$Y$7</formula>
    </cfRule>
  </conditionalFormatting>
  <dataValidations count="3">
    <dataValidation type="list" allowBlank="1" showInputMessage="1" showErrorMessage="1" sqref="H23" xr:uid="{00000000-0002-0000-0200-000000000000}">
      <formula1>Grad</formula1>
    </dataValidation>
    <dataValidation type="list" allowBlank="1" showInputMessage="1" showErrorMessage="1" sqref="B7:B14 B44:B58" xr:uid="{00000000-0002-0000-0200-000001000000}">
      <formula1>Prefix</formula1>
    </dataValidation>
    <dataValidation type="list" allowBlank="1" showInputMessage="1" showErrorMessage="1" sqref="G7:G14 G44:G58" xr:uid="{00000000-0002-0000-0200-000002000000}">
      <formula1>Roles</formula1>
    </dataValidation>
  </dataValidations>
  <printOptions horizontalCentered="1"/>
  <pageMargins left="0.25" right="0.25" top="0.5" bottom="0.5" header="0.5" footer="0.5"/>
  <pageSetup scale="91" orientation="landscape" r:id="rId1"/>
  <headerFooter alignWithMargins="0">
    <oddFooter>&amp;RPrinted On: &amp;D &amp;T</oddFooter>
  </headerFooter>
  <ignoredErrors>
    <ignoredError sqref="B8:G14 B21:L21 M21:M24 M26 B44:G58 L27:L28 B26 D26:L26 B24:L24 C23 G23:K23 C22:L22 B7:G7 B25 D25:L25" unlockedFormula="1"/>
    <ignoredError sqref="M25" formula="1" unlockedFormula="1"/>
  </ignoredErrors>
  <extLst>
    <ext xmlns:x14="http://schemas.microsoft.com/office/spreadsheetml/2009/9/main" uri="{78C0D931-6437-407d-A8EE-F0AAD7539E65}">
      <x14:conditionalFormattings>
        <x14:conditionalFormatting xmlns:xm="http://schemas.microsoft.com/office/excel/2006/main">
          <x14:cfRule type="expression" priority="26" id="{911963F5-8260-463B-8A6A-CB433B054398}">
            <xm:f>IF('Personnel Yr 1'!N5="Federal - NIH",SUM('Non-personnel'!$H$41,$N$23)/IF(OR(ISBLANK($B$23),NOT(ISNUMBER($B$23))),1,$B$23)&gt;NIHGradLimit)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allowBlank="1" showInputMessage="1" showErrorMessage="1" errorTitle="Salary Cap Error" error="Base salary should remain under $185,100 for calandar appointments and $131,112 for academic appointments." xr:uid="{00000000-0002-0000-02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200-000004000000}">
          <x14:formula1>
            <xm:f>OR(AND('Personnel Yr 1'!N5="Federal - NIH",SUM('Non-personnel'!$J$41,$N$23)/IF(OR(ISBLANK(B23),NOT(ISNUMBER(B23))),1,B23)&lt;=NIHGradLimit),'Personnel Yr 1'!N5&lt;&gt;"Federal - NIH")</xm:f>
          </x14:formula1>
          <xm:sqref>L23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59"/>
  <sheetViews>
    <sheetView zoomScaleNormal="100" workbookViewId="0">
      <selection activeCell="A2" sqref="A2"/>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5" width="9.140625" style="336"/>
    <col min="26" max="26" width="9" style="338" customWidth="1"/>
  </cols>
  <sheetData>
    <row r="1" spans="1:25" ht="18" x14ac:dyDescent="0.25">
      <c r="A1" s="561" t="s">
        <v>507</v>
      </c>
      <c r="B1" s="561"/>
      <c r="C1" s="561"/>
      <c r="D1" s="561"/>
      <c r="E1" s="561"/>
      <c r="F1" s="561"/>
      <c r="G1" s="561"/>
      <c r="H1" s="561"/>
      <c r="I1" s="561"/>
      <c r="J1" s="561"/>
      <c r="K1" s="561"/>
      <c r="L1" s="561"/>
      <c r="M1" s="561"/>
      <c r="N1" s="561"/>
    </row>
    <row r="2" spans="1:25" x14ac:dyDescent="0.2">
      <c r="A2" s="1"/>
      <c r="B2" s="1"/>
      <c r="C2" s="1"/>
      <c r="D2" s="1"/>
      <c r="E2" s="1"/>
      <c r="F2" s="1"/>
      <c r="G2" s="1"/>
      <c r="H2" s="1"/>
      <c r="I2" s="1"/>
      <c r="J2" s="1"/>
      <c r="K2" s="1"/>
      <c r="L2" s="1"/>
      <c r="M2" s="1"/>
      <c r="N2" s="1"/>
    </row>
    <row r="3" spans="1:25" ht="18" x14ac:dyDescent="0.25">
      <c r="A3" s="561" t="s">
        <v>79</v>
      </c>
      <c r="B3" s="561"/>
      <c r="C3" s="561"/>
      <c r="D3" s="561"/>
      <c r="E3" s="561"/>
      <c r="F3" s="561"/>
      <c r="G3" s="561"/>
      <c r="H3" s="561"/>
      <c r="I3" s="561"/>
      <c r="J3" s="561"/>
      <c r="K3" s="561"/>
      <c r="L3" s="561"/>
      <c r="M3" s="561"/>
      <c r="N3" s="561"/>
    </row>
    <row r="4" spans="1:25" ht="18" x14ac:dyDescent="0.25">
      <c r="A4" s="63"/>
      <c r="B4" s="63"/>
      <c r="C4" s="63"/>
      <c r="D4" s="63"/>
      <c r="E4" s="63"/>
      <c r="F4" s="63"/>
      <c r="G4" s="63"/>
      <c r="H4" s="63"/>
      <c r="I4" s="63"/>
      <c r="J4" s="63"/>
      <c r="K4" s="63"/>
      <c r="L4" s="63"/>
      <c r="M4" s="63"/>
      <c r="N4" s="63"/>
    </row>
    <row r="5" spans="1:25" x14ac:dyDescent="0.2">
      <c r="A5" s="2"/>
      <c r="B5" s="562" t="s">
        <v>5</v>
      </c>
      <c r="C5" s="562"/>
      <c r="D5" s="74"/>
      <c r="E5" s="2"/>
      <c r="F5" s="2"/>
      <c r="G5" s="2"/>
      <c r="H5" s="2"/>
      <c r="I5" s="2"/>
      <c r="J5" s="2"/>
      <c r="K5" s="2"/>
      <c r="L5" s="2"/>
      <c r="M5" s="2"/>
      <c r="N5" s="347" t="str">
        <f>'Personnel Yr 2'!N5</f>
        <v>Fnd/Prof Soc</v>
      </c>
      <c r="O5" s="9"/>
    </row>
    <row r="6" spans="1:25" ht="26.25" thickBot="1" x14ac:dyDescent="0.25">
      <c r="A6" s="2"/>
      <c r="B6" s="3"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T6" s="335" t="s">
        <v>66</v>
      </c>
      <c r="U6" s="335" t="s">
        <v>67</v>
      </c>
      <c r="V6" s="335" t="s">
        <v>68</v>
      </c>
      <c r="Y6" s="336" t="s">
        <v>464</v>
      </c>
    </row>
    <row r="7" spans="1:25" x14ac:dyDescent="0.2">
      <c r="A7" s="5">
        <v>1</v>
      </c>
      <c r="B7" s="28" t="str">
        <f>IF('Personnel Yr 1'!$J$5&gt;2,IF(NOT(OR(ISBLANK('Personnel Yr 2'!B7),'Personnel Yr 2'!B7="")),'Personnel Yr 2'!B7,""),"")</f>
        <v/>
      </c>
      <c r="C7" s="17" t="str">
        <f>IF('Personnel Yr 1'!$J$5&gt;2,IF(ISBLANK('Personnel Yr 2'!C7),"",'Personnel Yr 2'!C7),"")</f>
        <v/>
      </c>
      <c r="D7" s="17" t="str">
        <f>IF('Personnel Yr 1'!$J$5&gt;2,IF(ISBLANK('Personnel Yr 2'!D7),"",'Personnel Yr 2'!D7),"")</f>
        <v/>
      </c>
      <c r="E7" s="17" t="str">
        <f>IF('Personnel Yr 1'!$J$5&gt;2,IF(ISBLANK('Personnel Yr 2'!E7),"",'Personnel Yr 2'!E7),"")</f>
        <v/>
      </c>
      <c r="F7" s="17" t="str">
        <f>IF('Personnel Yr 1'!$J$5&gt;2,IF(ISBLANK('Personnel Yr 2'!F7),"",'Personnel Yr 2'!F7),"")</f>
        <v/>
      </c>
      <c r="G7" s="17" t="str">
        <f>IF('Personnel Yr 1'!$J$5&gt;2,IF(ISBLANK('Personnel Yr 2'!G7),"",'Personnel Yr 2'!G7),"")</f>
        <v/>
      </c>
      <c r="H7" s="177" t="str">
        <f>IF('Personnel Yr 1'!$J$5&gt;2,IF(NOT(OR(ISBLANK('Personnel Yr 2'!H7),'Personnel Yr 2'!H7="")),(('Personnel Yr 2'!H7*'Personnel Yr 1'!$D$5)+'Personnel Yr 2'!H7),""),"")</f>
        <v/>
      </c>
      <c r="I7" s="17" t="str">
        <f>IF('Personnel Yr 1'!$J$5&gt;2,IF(AND(OR(ISBLANK(H7),H7=""),ISBLANK('Personnel Yr 2'!I7)),"",'Personnel Yr 2'!I7),"")</f>
        <v/>
      </c>
      <c r="J7" s="17" t="str">
        <f>IF('Personnel Yr 1'!$J$5&gt;2,IF(AND(OR(ISBLANK(I7),I7=""),ISBLANK('Personnel Yr 2'!J7)),"",'Personnel Yr 2'!J7),"")</f>
        <v/>
      </c>
      <c r="K7" s="17" t="str">
        <f>IF('Personnel Yr 1'!$J$5&gt;2,IF(AND(OR(ISBLANK(J7),J7=""),ISBLANK('Personnel Yr 2'!K7)),"",'Personnel Yr 2'!K7),"")</f>
        <v/>
      </c>
      <c r="L7" s="45" t="str">
        <f>IF('Personnel Yr 1'!$J$5&gt;2,IF(NOT(OR(ISBLANK(H7),H7="")),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1'!$J$5&gt;2,IF(OR(ISBLANK(L7),L7=""),"",ROUND(SUM(T7:V7),2)),"")</f>
        <v/>
      </c>
      <c r="N7" s="46" t="str">
        <f>IF('Personnel Yr 1'!$J$5&gt;2,IF(OR(ISBLANK(M7),M7=""),"",ROUND(SUM(L7:M7),2)),"")</f>
        <v/>
      </c>
      <c r="O7" s="158"/>
      <c r="P7" s="336">
        <f>IF('Personnel Yr 1'!$J$5&gt;2,IF(NOT(OR(ISBLANK(I7),I7="")),(H7/12)*I7,""),0)</f>
        <v>0</v>
      </c>
      <c r="Q7" s="336">
        <f>IF('Personnel Yr 1'!$J$5&gt;2,IF(NOT(OR(ISBLANK(J7),J7="")),(H7/8.5)*J7,""),0)</f>
        <v>0</v>
      </c>
      <c r="R7" s="336">
        <f>IF('Personnel Yr 1'!$J$5&gt;2,IF(NOT(OR(ISBLANK(K7),K7="")),(H7/8.5)*K7,""),0)</f>
        <v>0</v>
      </c>
      <c r="T7" s="347">
        <f>IF(OR(ISBLANK(P7),P7=""),0,P7*LOOKUP("Full",Ben,Per))</f>
        <v>0</v>
      </c>
      <c r="U7" s="347">
        <f>IF(OR(ISBLANK(Q7),Q7=""),0,Q7*LOOKUP("Full",Ben,Per))</f>
        <v>0</v>
      </c>
      <c r="V7" s="347">
        <f>IF(OR(ISBLANK(R7),R7=""),0,R7*LOOKUP("Summer",Ben,Per))</f>
        <v>0</v>
      </c>
      <c r="X7" s="336">
        <v>7</v>
      </c>
      <c r="Y7" s="336" t="b">
        <f>IF('Personnel Yr 1'!$J$5&gt;2,IF(OR($N$5&lt;&gt;"Federal - NIH",OR(AND(ISBLANK(I7),ISBLANK(J7),ISBLANK(K7)),AND(I7="",J7="",K7=""))),FALSE,IF(I7&gt;0,H7&gt;NIHSalaryCap,H7&gt;(NIHSalaryCap*8.5)/12)),FALSE)</f>
        <v>0</v>
      </c>
    </row>
    <row r="8" spans="1:25" x14ac:dyDescent="0.2">
      <c r="A8" s="5">
        <v>2</v>
      </c>
      <c r="B8" s="6" t="str">
        <f>IF('Personnel Yr 1'!$J$5&gt;2,IF(NOT(OR(ISBLANK('Personnel Yr 2'!B8),'Personnel Yr 2'!B8="")),'Personnel Yr 2'!B8,""),"")</f>
        <v/>
      </c>
      <c r="C8" s="22" t="str">
        <f>IF('Personnel Yr 1'!$J$5&gt;2,IF(ISBLANK('Personnel Yr 2'!C8),"",'Personnel Yr 2'!C8),"")</f>
        <v/>
      </c>
      <c r="D8" s="22" t="str">
        <f>IF('Personnel Yr 1'!$J$5&gt;2,IF(ISBLANK('Personnel Yr 2'!D8),"",'Personnel Yr 2'!D8),"")</f>
        <v/>
      </c>
      <c r="E8" s="22" t="str">
        <f>IF('Personnel Yr 1'!$J$5&gt;2,IF(ISBLANK('Personnel Yr 2'!E8),"",'Personnel Yr 2'!E8),"")</f>
        <v/>
      </c>
      <c r="F8" s="22" t="str">
        <f>IF('Personnel Yr 1'!$J$5&gt;2,IF(ISBLANK('Personnel Yr 2'!F8),"",'Personnel Yr 2'!F8),"")</f>
        <v/>
      </c>
      <c r="G8" s="22" t="str">
        <f>IF('Personnel Yr 1'!$J$5&gt;2,IF(ISBLANK('Personnel Yr 2'!G8),"",'Personnel Yr 2'!G8),"")</f>
        <v/>
      </c>
      <c r="H8" s="42" t="str">
        <f>IF('Personnel Yr 1'!$J$5&gt;2,IF(NOT(OR(ISBLANK('Personnel Yr 2'!H8),'Personnel Yr 2'!H8="")),(('Personnel Yr 2'!H8*'Personnel Yr 1'!$D$5)+'Personnel Yr 2'!H8),""),"")</f>
        <v/>
      </c>
      <c r="I8" s="22" t="str">
        <f>IF('Personnel Yr 1'!$J$5&gt;2,IF(AND(OR(ISBLANK(H8),H8=""),ISBLANK('Personnel Yr 2'!I8)),"",'Personnel Yr 2'!I8),"")</f>
        <v/>
      </c>
      <c r="J8" s="22" t="str">
        <f>IF('Personnel Yr 1'!$J$5&gt;2,IF(AND(OR(ISBLANK(I8),I8=""),ISBLANK('Personnel Yr 2'!J8)),"",'Personnel Yr 2'!J8),"")</f>
        <v/>
      </c>
      <c r="K8" s="22" t="str">
        <f>IF('Personnel Yr 1'!$J$5&gt;2,IF(AND(OR(ISBLANK(J8),J8=""),ISBLANK('Personnel Yr 2'!K8)),"",'Personnel Yr 2'!K8),"")</f>
        <v/>
      </c>
      <c r="L8" s="44" t="str">
        <f>IF('Personnel Yr 1'!$J$5&gt;2,IF(NOT(OR(ISBLANK(H8),H8="")),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1'!$J$5&gt;2,IF(OR(ISBLANK(L8),L8=""),"",ROUND(SUM(T8:V8),2)),"")</f>
        <v/>
      </c>
      <c r="N8" s="51" t="str">
        <f>IF('Personnel Yr 1'!$J$5&gt;2,IF(OR(ISBLANK(M8),M8=""),"",ROUND(SUM(L8:M8),2)),"")</f>
        <v/>
      </c>
      <c r="O8" s="159"/>
      <c r="P8" s="336">
        <f>IF('Personnel Yr 1'!$J$5&gt;2,IF(NOT(OR(ISBLANK(I8),I8="")),(H8/12)*I8,""),0)</f>
        <v>0</v>
      </c>
      <c r="Q8" s="336">
        <f>IF('Personnel Yr 1'!$J$5&gt;2,IF(NOT(OR(ISBLANK(J8),J8="")),(H8/8.5)*J8,""),0)</f>
        <v>0</v>
      </c>
      <c r="R8" s="336">
        <f>IF('Personnel Yr 1'!$J$5&gt;2,IF(NOT(OR(ISBLANK(K8),K8="")),(H8/8.5)*K8,""),0)</f>
        <v>0</v>
      </c>
      <c r="T8" s="347">
        <f t="shared" ref="T8:U14" si="0">IF(OR(ISBLANK(P8),P8=""),0,P8*LOOKUP("Full",Ben,Per))</f>
        <v>0</v>
      </c>
      <c r="U8" s="347">
        <f t="shared" si="0"/>
        <v>0</v>
      </c>
      <c r="V8" s="347">
        <f t="shared" ref="V8:V14" si="1">IF(OR(ISBLANK(R8),R8=""),0,R8*LOOKUP("Summer",Ben,Per))</f>
        <v>0</v>
      </c>
      <c r="X8" s="336">
        <v>8</v>
      </c>
      <c r="Y8" s="336" t="b">
        <f>IF('Personnel Yr 1'!$J$5&gt;2,IF(OR($N$5&lt;&gt;"Federal - NIH",OR(AND(ISBLANK(I8),ISBLANK(J8),ISBLANK(K8)),AND(I8="",J8="",K8=""))),FALSE,IF(I8&gt;0,H8&gt;NIHSalaryCap,H8&gt;(NIHSalaryCap*8.5)/12)),FALSE)</f>
        <v>0</v>
      </c>
    </row>
    <row r="9" spans="1:25" x14ac:dyDescent="0.2">
      <c r="A9" s="5">
        <v>3</v>
      </c>
      <c r="B9" s="6" t="str">
        <f>IF('Personnel Yr 1'!$J$5&gt;2,IF(NOT(OR(ISBLANK('Personnel Yr 2'!B9),'Personnel Yr 2'!B9="")),'Personnel Yr 2'!B9,""),"")</f>
        <v/>
      </c>
      <c r="C9" s="22" t="str">
        <f>IF('Personnel Yr 1'!$J$5&gt;2,IF(ISBLANK('Personnel Yr 2'!C9),"",'Personnel Yr 2'!C9),"")</f>
        <v/>
      </c>
      <c r="D9" s="22" t="str">
        <f>IF('Personnel Yr 1'!$J$5&gt;2,IF(ISBLANK('Personnel Yr 2'!D9),"",'Personnel Yr 2'!D9),"")</f>
        <v/>
      </c>
      <c r="E9" s="22" t="str">
        <f>IF('Personnel Yr 1'!$J$5&gt;2,IF(ISBLANK('Personnel Yr 2'!E9),"",'Personnel Yr 2'!E9),"")</f>
        <v/>
      </c>
      <c r="F9" s="22" t="str">
        <f>IF('Personnel Yr 1'!$J$5&gt;2,IF(ISBLANK('Personnel Yr 2'!F9),"",'Personnel Yr 2'!F9),"")</f>
        <v/>
      </c>
      <c r="G9" s="22" t="str">
        <f>IF('Personnel Yr 1'!$J$5&gt;2,IF(ISBLANK('Personnel Yr 2'!G9),"",'Personnel Yr 2'!G9),"")</f>
        <v/>
      </c>
      <c r="H9" s="42" t="str">
        <f>IF('Personnel Yr 1'!$J$5&gt;2,IF(NOT(OR(ISBLANK('Personnel Yr 2'!H9),'Personnel Yr 2'!H9="")),(('Personnel Yr 2'!H9*'Personnel Yr 1'!$D$5)+'Personnel Yr 2'!H9),""),"")</f>
        <v/>
      </c>
      <c r="I9" s="22" t="str">
        <f>IF('Personnel Yr 1'!$J$5&gt;2,IF(AND(OR(ISBLANK(H9),H9=""),ISBLANK('Personnel Yr 2'!I9)),"",'Personnel Yr 2'!I9),"")</f>
        <v/>
      </c>
      <c r="J9" s="22" t="str">
        <f>IF('Personnel Yr 1'!$J$5&gt;2,IF(AND(OR(ISBLANK(I9),I9=""),ISBLANK('Personnel Yr 2'!J9)),"",'Personnel Yr 2'!J9),"")</f>
        <v/>
      </c>
      <c r="K9" s="22" t="str">
        <f>IF('Personnel Yr 1'!$J$5&gt;2,IF(AND(OR(ISBLANK(J9),J9=""),ISBLANK('Personnel Yr 2'!K9)),"",'Personnel Yr 2'!K9),"")</f>
        <v/>
      </c>
      <c r="L9" s="44" t="str">
        <f>IF('Personnel Yr 1'!$J$5&gt;2,IF(NOT(OR(ISBLANK(H9),H9="")),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1'!$J$5&gt;2,IF(OR(ISBLANK(L9),L9=""),"",ROUND(SUM(T9:V9),2)),"")</f>
        <v/>
      </c>
      <c r="N9" s="51" t="str">
        <f>IF('Personnel Yr 1'!$J$5&gt;2,IF(OR(ISBLANK(M9),M9=""),"",ROUND(SUM(L9:M9),2)),"")</f>
        <v/>
      </c>
      <c r="O9" s="157"/>
      <c r="P9" s="336">
        <f>IF('Personnel Yr 1'!$J$5&gt;2,IF(NOT(OR(ISBLANK(I9),I9="")),(H9/12)*I9,""),0)</f>
        <v>0</v>
      </c>
      <c r="Q9" s="336">
        <f>IF('Personnel Yr 1'!$J$5&gt;2,IF(NOT(OR(ISBLANK(J9),J9="")),(H9/8.5)*J9,""),0)</f>
        <v>0</v>
      </c>
      <c r="R9" s="336">
        <f>IF('Personnel Yr 1'!$J$5&gt;2,IF(NOT(OR(ISBLANK(K9),K9="")),(H9/8.5)*K9,""),0)</f>
        <v>0</v>
      </c>
      <c r="T9" s="347">
        <f t="shared" si="0"/>
        <v>0</v>
      </c>
      <c r="U9" s="347">
        <f t="shared" si="0"/>
        <v>0</v>
      </c>
      <c r="V9" s="347">
        <f t="shared" si="1"/>
        <v>0</v>
      </c>
      <c r="X9" s="336">
        <v>9</v>
      </c>
      <c r="Y9" s="336" t="b">
        <f>IF('Personnel Yr 1'!$J$5&gt;2,IF(OR($N$5&lt;&gt;"Federal - NIH",OR(AND(ISBLANK(I9),ISBLANK(J9),ISBLANK(K9)),AND(I9="",J9="",K9=""))),FALSE,IF(I9&gt;0,H9&gt;NIHSalaryCap,H9&gt;(NIHSalaryCap*8.5)/12)),FALSE)</f>
        <v>0</v>
      </c>
    </row>
    <row r="10" spans="1:25" x14ac:dyDescent="0.2">
      <c r="A10" s="5">
        <v>4</v>
      </c>
      <c r="B10" s="6" t="str">
        <f>IF('Personnel Yr 1'!$J$5&gt;2,IF(NOT(OR(ISBLANK('Personnel Yr 2'!B10),'Personnel Yr 2'!B10="")),'Personnel Yr 2'!B10,""),"")</f>
        <v/>
      </c>
      <c r="C10" s="22" t="str">
        <f>IF('Personnel Yr 1'!$J$5&gt;2,IF(ISBLANK('Personnel Yr 2'!C10),"",'Personnel Yr 2'!C10),"")</f>
        <v/>
      </c>
      <c r="D10" s="22" t="str">
        <f>IF('Personnel Yr 1'!$J$5&gt;2,IF(ISBLANK('Personnel Yr 2'!D10),"",'Personnel Yr 2'!D10),"")</f>
        <v/>
      </c>
      <c r="E10" s="22" t="str">
        <f>IF('Personnel Yr 1'!$J$5&gt;2,IF(ISBLANK('Personnel Yr 2'!E10),"",'Personnel Yr 2'!E10),"")</f>
        <v/>
      </c>
      <c r="F10" s="22" t="str">
        <f>IF('Personnel Yr 1'!$J$5&gt;2,IF(ISBLANK('Personnel Yr 2'!F10),"",'Personnel Yr 2'!F10),"")</f>
        <v/>
      </c>
      <c r="G10" s="22" t="str">
        <f>IF('Personnel Yr 1'!$J$5&gt;2,IF(ISBLANK('Personnel Yr 2'!G10),"",'Personnel Yr 2'!G10),"")</f>
        <v/>
      </c>
      <c r="H10" s="42" t="str">
        <f>IF('Personnel Yr 1'!$J$5&gt;2,IF(NOT(OR(ISBLANK('Personnel Yr 2'!H10),'Personnel Yr 2'!H10="")),(('Personnel Yr 2'!H10*'Personnel Yr 1'!$D$5)+'Personnel Yr 2'!H10),""),"")</f>
        <v/>
      </c>
      <c r="I10" s="22" t="str">
        <f>IF('Personnel Yr 1'!$J$5&gt;2,IF(AND(OR(ISBLANK(H10),H10=""),ISBLANK('Personnel Yr 2'!I10)),"",'Personnel Yr 2'!I10),"")</f>
        <v/>
      </c>
      <c r="J10" s="22" t="str">
        <f>IF('Personnel Yr 1'!$J$5&gt;2,IF(AND(OR(ISBLANK(I10),I10=""),ISBLANK('Personnel Yr 2'!J10)),"",'Personnel Yr 2'!J10),"")</f>
        <v/>
      </c>
      <c r="K10" s="22" t="str">
        <f>IF('Personnel Yr 1'!$J$5&gt;2,IF(AND(OR(ISBLANK(J10),J10=""),ISBLANK('Personnel Yr 2'!K10)),"",'Personnel Yr 2'!K10),"")</f>
        <v/>
      </c>
      <c r="L10" s="44" t="str">
        <f>IF('Personnel Yr 1'!$J$5&gt;2,IF(NOT(OR(ISBLANK(H10),H10="")),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1'!$J$5&gt;2,IF(OR(ISBLANK(L10),L10=""),"",ROUND(SUM(T10:V10),2)),"")</f>
        <v/>
      </c>
      <c r="N10" s="51" t="str">
        <f>IF('Personnel Yr 1'!$J$5&gt;2,IF(OR(ISBLANK(M10),M10=""),"",ROUND(SUM(L10:M10),2)),"")</f>
        <v/>
      </c>
      <c r="O10" s="160"/>
      <c r="P10" s="336">
        <f>IF('Personnel Yr 1'!$J$5&gt;2,IF(NOT(OR(ISBLANK(I10),I10="")),(H10/12)*I10,""),0)</f>
        <v>0</v>
      </c>
      <c r="Q10" s="336">
        <f>IF('Personnel Yr 1'!$J$5&gt;2,IF(NOT(OR(ISBLANK(J10),J10="")),(H10/8.5)*J10,""),0)</f>
        <v>0</v>
      </c>
      <c r="R10" s="336">
        <f>IF('Personnel Yr 1'!$J$5&gt;2,IF(NOT(OR(ISBLANK(K10),K10="")),(H10/8.5)*K10,""),0)</f>
        <v>0</v>
      </c>
      <c r="T10" s="347">
        <f t="shared" si="0"/>
        <v>0</v>
      </c>
      <c r="U10" s="347">
        <f t="shared" si="0"/>
        <v>0</v>
      </c>
      <c r="V10" s="347">
        <f t="shared" si="1"/>
        <v>0</v>
      </c>
      <c r="X10" s="336">
        <v>10</v>
      </c>
      <c r="Y10" s="336" t="b">
        <f>IF('Personnel Yr 1'!$J$5&gt;2,IF(OR($N$5&lt;&gt;"Federal - NIH",OR(AND(ISBLANK(I10),ISBLANK(J10),ISBLANK(K10)),AND(I10="",J10="",K10=""))),FALSE,IF(I10&gt;0,H10&gt;NIHSalaryCap,H10&gt;(NIHSalaryCap*8.5)/12)),FALSE)</f>
        <v>0</v>
      </c>
    </row>
    <row r="11" spans="1:25" x14ac:dyDescent="0.2">
      <c r="A11" s="5">
        <v>5</v>
      </c>
      <c r="B11" s="6" t="str">
        <f>IF('Personnel Yr 1'!$J$5&gt;2,IF(NOT(OR(ISBLANK('Personnel Yr 2'!B11),'Personnel Yr 2'!B11="")),'Personnel Yr 2'!B11,""),"")</f>
        <v/>
      </c>
      <c r="C11" s="22" t="str">
        <f>IF('Personnel Yr 1'!$J$5&gt;2,IF(ISBLANK('Personnel Yr 2'!C11),"",'Personnel Yr 2'!C11),"")</f>
        <v/>
      </c>
      <c r="D11" s="22" t="str">
        <f>IF('Personnel Yr 1'!$J$5&gt;2,IF(ISBLANK('Personnel Yr 2'!D11),"",'Personnel Yr 2'!D11),"")</f>
        <v/>
      </c>
      <c r="E11" s="22" t="str">
        <f>IF('Personnel Yr 1'!$J$5&gt;2,IF(ISBLANK('Personnel Yr 2'!E11),"",'Personnel Yr 2'!E11),"")</f>
        <v/>
      </c>
      <c r="F11" s="22" t="str">
        <f>IF('Personnel Yr 1'!$J$5&gt;2,IF(ISBLANK('Personnel Yr 2'!F11),"",'Personnel Yr 2'!F11),"")</f>
        <v/>
      </c>
      <c r="G11" s="22" t="str">
        <f>IF('Personnel Yr 1'!$J$5&gt;2,IF(ISBLANK('Personnel Yr 2'!G11),"",'Personnel Yr 2'!G11),"")</f>
        <v/>
      </c>
      <c r="H11" s="42" t="str">
        <f>IF('Personnel Yr 1'!$J$5&gt;2,IF(NOT(OR(ISBLANK('Personnel Yr 2'!H11),'Personnel Yr 2'!H11="")),(('Personnel Yr 2'!H11*'Personnel Yr 1'!$D$5)+'Personnel Yr 2'!H11),""),"")</f>
        <v/>
      </c>
      <c r="I11" s="22" t="str">
        <f>IF('Personnel Yr 1'!$J$5&gt;2,IF(AND(OR(ISBLANK(H11),H11=""),ISBLANK('Personnel Yr 2'!I11)),"",'Personnel Yr 2'!I11),"")</f>
        <v/>
      </c>
      <c r="J11" s="22" t="str">
        <f>IF('Personnel Yr 1'!$J$5&gt;2,IF(AND(OR(ISBLANK(I11),I11=""),ISBLANK('Personnel Yr 2'!J11)),"",'Personnel Yr 2'!J11),"")</f>
        <v/>
      </c>
      <c r="K11" s="22" t="str">
        <f>IF('Personnel Yr 1'!$J$5&gt;2,IF(AND(OR(ISBLANK(J11),J11=""),ISBLANK('Personnel Yr 2'!K11)),"",'Personnel Yr 2'!K11),"")</f>
        <v/>
      </c>
      <c r="L11" s="44" t="str">
        <f>IF('Personnel Yr 1'!$J$5&gt;2,IF(NOT(OR(ISBLANK(H11),H11="")),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1'!$J$5&gt;2,IF(OR(ISBLANK(L11),L11=""),"",ROUND(SUM(T11:V11),2)),"")</f>
        <v/>
      </c>
      <c r="N11" s="51" t="str">
        <f>IF('Personnel Yr 1'!$J$5&gt;2,IF(OR(ISBLANK(M11),M11=""),"",ROUND(SUM(L11:M11),2)),"")</f>
        <v/>
      </c>
      <c r="O11" s="159"/>
      <c r="P11" s="336">
        <f>IF('Personnel Yr 1'!$J$5&gt;2,IF(NOT(OR(ISBLANK(I11),I11="")),(H11/12)*I11,""),0)</f>
        <v>0</v>
      </c>
      <c r="Q11" s="336">
        <f>IF('Personnel Yr 1'!$J$5&gt;2,IF(NOT(OR(ISBLANK(J11),J11="")),(H11/8.5)*J11,""),0)</f>
        <v>0</v>
      </c>
      <c r="R11" s="336">
        <f>IF('Personnel Yr 1'!$J$5&gt;2,IF(NOT(OR(ISBLANK(K11),K11="")),(H11/8.5)*K11,""),0)</f>
        <v>0</v>
      </c>
      <c r="T11" s="347">
        <f t="shared" si="0"/>
        <v>0</v>
      </c>
      <c r="U11" s="347">
        <f t="shared" si="0"/>
        <v>0</v>
      </c>
      <c r="V11" s="347">
        <f t="shared" si="1"/>
        <v>0</v>
      </c>
      <c r="X11" s="336">
        <v>11</v>
      </c>
      <c r="Y11" s="336" t="b">
        <f>IF('Personnel Yr 1'!$J$5&gt;2,IF(OR($N$5&lt;&gt;"Federal - NIH",OR(AND(ISBLANK(I11),ISBLANK(J11),ISBLANK(K11)),AND(I11="",J11="",K11=""))),FALSE,IF(I11&gt;0,H11&gt;NIHSalaryCap,H11&gt;(NIHSalaryCap*8.5)/12)),FALSE)</f>
        <v>0</v>
      </c>
    </row>
    <row r="12" spans="1:25" x14ac:dyDescent="0.2">
      <c r="A12" s="5">
        <v>6</v>
      </c>
      <c r="B12" s="6" t="str">
        <f>IF('Personnel Yr 1'!$J$5&gt;2,IF(NOT(OR(ISBLANK('Personnel Yr 2'!B12),'Personnel Yr 2'!B12="")),'Personnel Yr 2'!B12,""),"")</f>
        <v/>
      </c>
      <c r="C12" s="22" t="str">
        <f>IF('Personnel Yr 1'!$J$5&gt;2,IF(ISBLANK('Personnel Yr 2'!C12),"",'Personnel Yr 2'!C12),"")</f>
        <v/>
      </c>
      <c r="D12" s="22" t="str">
        <f>IF('Personnel Yr 1'!$J$5&gt;2,IF(ISBLANK('Personnel Yr 2'!D12),"",'Personnel Yr 2'!D12),"")</f>
        <v/>
      </c>
      <c r="E12" s="22" t="str">
        <f>IF('Personnel Yr 1'!$J$5&gt;2,IF(ISBLANK('Personnel Yr 2'!E12),"",'Personnel Yr 2'!E12),"")</f>
        <v/>
      </c>
      <c r="F12" s="22" t="str">
        <f>IF('Personnel Yr 1'!$J$5&gt;2,IF(ISBLANK('Personnel Yr 2'!F12),"",'Personnel Yr 2'!F12),"")</f>
        <v/>
      </c>
      <c r="G12" s="22" t="str">
        <f>IF('Personnel Yr 1'!$J$5&gt;2,IF(ISBLANK('Personnel Yr 2'!G12),"",'Personnel Yr 2'!G12),"")</f>
        <v/>
      </c>
      <c r="H12" s="42" t="str">
        <f>IF('Personnel Yr 1'!$J$5&gt;2,IF(NOT(OR(ISBLANK('Personnel Yr 2'!H12),'Personnel Yr 2'!H12="")),(('Personnel Yr 2'!H12*'Personnel Yr 1'!$D$5)+'Personnel Yr 2'!H12),""),"")</f>
        <v/>
      </c>
      <c r="I12" s="22" t="str">
        <f>IF('Personnel Yr 1'!$J$5&gt;2,IF(AND(OR(ISBLANK(H12),H12=""),ISBLANK('Personnel Yr 2'!I12)),"",'Personnel Yr 2'!I12),"")</f>
        <v/>
      </c>
      <c r="J12" s="22" t="str">
        <f>IF('Personnel Yr 1'!$J$5&gt;2,IF(AND(OR(ISBLANK(I12),I12=""),ISBLANK('Personnel Yr 2'!J12)),"",'Personnel Yr 2'!J12),"")</f>
        <v/>
      </c>
      <c r="K12" s="22" t="str">
        <f>IF('Personnel Yr 1'!$J$5&gt;2,IF(AND(OR(ISBLANK(J12),J12=""),ISBLANK('Personnel Yr 2'!K12)),"",'Personnel Yr 2'!K12),"")</f>
        <v/>
      </c>
      <c r="L12" s="44" t="str">
        <f>IF('Personnel Yr 1'!$J$5&gt;2,IF(NOT(OR(ISBLANK(H12),H12="")),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1'!$J$5&gt;2,IF(OR(ISBLANK(L12),L12=""),"",ROUND(SUM(T12:V12),2)),"")</f>
        <v/>
      </c>
      <c r="N12" s="51" t="str">
        <f>IF('Personnel Yr 1'!$J$5&gt;2,IF(OR(ISBLANK(M12),M12=""),"",ROUND(SUM(L12:M12),2)),"")</f>
        <v/>
      </c>
      <c r="O12" s="159"/>
      <c r="P12" s="336">
        <f>IF('Personnel Yr 1'!$J$5&gt;2,IF(NOT(OR(ISBLANK(I12),I12="")),(H12/12)*I12,""),0)</f>
        <v>0</v>
      </c>
      <c r="Q12" s="336">
        <f>IF('Personnel Yr 1'!$J$5&gt;2,IF(NOT(OR(ISBLANK(J12),J12="")),(H12/8.5)*J12,""),0)</f>
        <v>0</v>
      </c>
      <c r="R12" s="336">
        <f>IF('Personnel Yr 1'!$J$5&gt;2,IF(NOT(OR(ISBLANK(K12),K12="")),(H12/8.5)*K12,""),0)</f>
        <v>0</v>
      </c>
      <c r="T12" s="347">
        <f t="shared" si="0"/>
        <v>0</v>
      </c>
      <c r="U12" s="347">
        <f t="shared" si="0"/>
        <v>0</v>
      </c>
      <c r="V12" s="347">
        <f t="shared" si="1"/>
        <v>0</v>
      </c>
      <c r="X12" s="336">
        <v>12</v>
      </c>
      <c r="Y12" s="336" t="b">
        <f>IF('Personnel Yr 1'!$J$5&gt;2,IF(OR($N$5&lt;&gt;"Federal - NIH",OR(AND(ISBLANK(I12),ISBLANK(J12),ISBLANK(K12)),AND(I12="",J12="",K12=""))),FALSE,IF(I12&gt;0,H12&gt;NIHSalaryCap,H12&gt;(NIHSalaryCap*8.5)/12)),FALSE)</f>
        <v>0</v>
      </c>
    </row>
    <row r="13" spans="1:25" x14ac:dyDescent="0.2">
      <c r="A13" s="5">
        <v>7</v>
      </c>
      <c r="B13" s="6" t="str">
        <f>IF('Personnel Yr 1'!$J$5&gt;2,IF(NOT(OR(ISBLANK('Personnel Yr 2'!B13),'Personnel Yr 2'!B13="")),'Personnel Yr 2'!B13,""),"")</f>
        <v/>
      </c>
      <c r="C13" s="22" t="str">
        <f>IF('Personnel Yr 1'!$J$5&gt;2,IF(ISBLANK('Personnel Yr 2'!C13),"",'Personnel Yr 2'!C13),"")</f>
        <v/>
      </c>
      <c r="D13" s="22" t="str">
        <f>IF('Personnel Yr 1'!$J$5&gt;2,IF(ISBLANK('Personnel Yr 2'!D13),"",'Personnel Yr 2'!D13),"")</f>
        <v/>
      </c>
      <c r="E13" s="22" t="str">
        <f>IF('Personnel Yr 1'!$J$5&gt;2,IF(ISBLANK('Personnel Yr 2'!E13),"",'Personnel Yr 2'!E13),"")</f>
        <v/>
      </c>
      <c r="F13" s="22" t="str">
        <f>IF('Personnel Yr 1'!$J$5&gt;2,IF(ISBLANK('Personnel Yr 2'!F13),"",'Personnel Yr 2'!F13),"")</f>
        <v/>
      </c>
      <c r="G13" s="22" t="str">
        <f>IF('Personnel Yr 1'!$J$5&gt;2,IF(ISBLANK('Personnel Yr 2'!G13),"",'Personnel Yr 2'!G13),"")</f>
        <v/>
      </c>
      <c r="H13" s="42" t="str">
        <f>IF('Personnel Yr 1'!$J$5&gt;2,IF(NOT(OR(ISBLANK('Personnel Yr 2'!H13),'Personnel Yr 2'!H13="")),(('Personnel Yr 2'!H13*'Personnel Yr 1'!$D$5)+'Personnel Yr 2'!H13),""),"")</f>
        <v/>
      </c>
      <c r="I13" s="22" t="str">
        <f>IF('Personnel Yr 1'!$J$5&gt;2,IF(AND(OR(ISBLANK(H13),H13=""),ISBLANK('Personnel Yr 2'!I13)),"",'Personnel Yr 2'!I13),"")</f>
        <v/>
      </c>
      <c r="J13" s="22" t="str">
        <f>IF('Personnel Yr 1'!$J$5&gt;2,IF(AND(OR(ISBLANK(I13),I13=""),ISBLANK('Personnel Yr 2'!J13)),"",'Personnel Yr 2'!J13),"")</f>
        <v/>
      </c>
      <c r="K13" s="22" t="str">
        <f>IF('Personnel Yr 1'!$J$5&gt;2,IF(AND(OR(ISBLANK(J13),J13=""),ISBLANK('Personnel Yr 2'!K13)),"",'Personnel Yr 2'!K13),"")</f>
        <v/>
      </c>
      <c r="L13" s="44" t="str">
        <f>IF('Personnel Yr 1'!$J$5&gt;2,IF(NOT(OR(ISBLANK(H13),H13="")),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1'!$J$5&gt;2,IF(OR(ISBLANK(L13),L13=""),"",ROUND(SUM(T13:V13),2)),"")</f>
        <v/>
      </c>
      <c r="N13" s="51" t="str">
        <f>IF('Personnel Yr 1'!$J$5&gt;2,IF(OR(ISBLANK(M13),M13=""),"",ROUND(SUM(L13:M13),2)),"")</f>
        <v/>
      </c>
      <c r="O13" s="157"/>
      <c r="P13" s="336">
        <f>IF('Personnel Yr 1'!$J$5&gt;2,IF(NOT(OR(ISBLANK(I13),I13="")),(H13/12)*I13,""),0)</f>
        <v>0</v>
      </c>
      <c r="Q13" s="336">
        <f>IF('Personnel Yr 1'!$J$5&gt;2,IF(NOT(OR(ISBLANK(J13),J13="")),(H13/8.5)*J13,""),0)</f>
        <v>0</v>
      </c>
      <c r="R13" s="336">
        <f>IF('Personnel Yr 1'!$J$5&gt;2,IF(NOT(OR(ISBLANK(K13),K13="")),(H13/8.5)*K13,""),0)</f>
        <v>0</v>
      </c>
      <c r="T13" s="347">
        <f t="shared" si="0"/>
        <v>0</v>
      </c>
      <c r="U13" s="347">
        <f t="shared" si="0"/>
        <v>0</v>
      </c>
      <c r="V13" s="347">
        <f t="shared" si="1"/>
        <v>0</v>
      </c>
      <c r="X13" s="336">
        <v>13</v>
      </c>
      <c r="Y13" s="336" t="b">
        <f>IF('Personnel Yr 1'!$J$5&gt;2,IF(OR($N$5&lt;&gt;"Federal - NIH",OR(AND(ISBLANK(I13),ISBLANK(J13),ISBLANK(K13)),AND(I13="",J13="",K13=""))),FALSE,IF(I13&gt;0,H13&gt;NIHSalaryCap,H13&gt;(NIHSalaryCap*8.5)/12)),FALSE)</f>
        <v>0</v>
      </c>
    </row>
    <row r="14" spans="1:25" ht="13.5" thickBot="1" x14ac:dyDescent="0.25">
      <c r="A14" s="5">
        <v>8</v>
      </c>
      <c r="B14" s="7" t="str">
        <f>IF('Personnel Yr 1'!$J$5&gt;2,IF(NOT(OR(ISBLANK('Personnel Yr 2'!B14),'Personnel Yr 2'!B14="")),'Personnel Yr 2'!B14,""),"")</f>
        <v/>
      </c>
      <c r="C14" s="29" t="str">
        <f>IF('Personnel Yr 1'!$J$5&gt;2,IF(ISBLANK('Personnel Yr 2'!C14),"",'Personnel Yr 2'!C14),"")</f>
        <v/>
      </c>
      <c r="D14" s="29" t="str">
        <f>IF('Personnel Yr 1'!$J$5&gt;2,IF(ISBLANK('Personnel Yr 2'!D14),"",'Personnel Yr 2'!D14),"")</f>
        <v/>
      </c>
      <c r="E14" s="29" t="str">
        <f>IF('Personnel Yr 1'!$J$5&gt;2,IF(ISBLANK('Personnel Yr 2'!E14),"",'Personnel Yr 2'!E14),"")</f>
        <v/>
      </c>
      <c r="F14" s="29" t="str">
        <f>IF('Personnel Yr 1'!$J$5&gt;2,IF(ISBLANK('Personnel Yr 2'!F14),"",'Personnel Yr 2'!F14),"")</f>
        <v/>
      </c>
      <c r="G14" s="29" t="str">
        <f>IF('Personnel Yr 1'!$J$5&gt;2,IF(ISBLANK('Personnel Yr 2'!G14),"",'Personnel Yr 2'!G14),"")</f>
        <v/>
      </c>
      <c r="H14" s="43" t="str">
        <f>IF('Personnel Yr 1'!$J$5&gt;2,IF(NOT(OR(ISBLANK('Personnel Yr 2'!H14),'Personnel Yr 2'!H14="")),(('Personnel Yr 2'!H14*'Personnel Yr 1'!$D$5)+'Personnel Yr 2'!H14),""),"")</f>
        <v/>
      </c>
      <c r="I14" s="29" t="str">
        <f>IF('Personnel Yr 1'!$J$5&gt;2,IF(AND(OR(ISBLANK(H14),H14=""),ISBLANK('Personnel Yr 2'!I14)),"",'Personnel Yr 2'!I14),"")</f>
        <v/>
      </c>
      <c r="J14" s="29" t="str">
        <f>IF('Personnel Yr 1'!$J$5&gt;2,IF(AND(OR(ISBLANK(I14),I14=""),ISBLANK('Personnel Yr 2'!J14)),"",'Personnel Yr 2'!J14),"")</f>
        <v/>
      </c>
      <c r="K14" s="29" t="str">
        <f>IF('Personnel Yr 1'!$J$5&gt;2,IF(AND(OR(ISBLANK(J14),J14=""),ISBLANK('Personnel Yr 2'!K14)),"",'Personnel Yr 2'!K14),"")</f>
        <v/>
      </c>
      <c r="L14" s="52" t="str">
        <f>IF('Personnel Yr 1'!$J$5&gt;2,IF(NOT(OR(ISBLANK(H14),H14="")),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1'!$J$5&gt;2,IF(OR(ISBLANK(L14),L14=""),"",ROUND(SUM(T14:V14),2)),"")</f>
        <v/>
      </c>
      <c r="N14" s="50" t="str">
        <f>IF('Personnel Yr 1'!$J$5&gt;2,IF(OR(ISBLANK(M14),M14=""),"",ROUND(SUM(L14:M14),2)),"")</f>
        <v/>
      </c>
      <c r="O14" s="161"/>
      <c r="P14" s="336">
        <f>IF('Personnel Yr 1'!$J$5&gt;2,IF(NOT(OR(ISBLANK(I14),I14="")),(H14/12)*I14,""),0)</f>
        <v>0</v>
      </c>
      <c r="Q14" s="336">
        <f>IF('Personnel Yr 1'!$J$5&gt;2,IF(NOT(OR(ISBLANK(J14),J14="")),(H14/8.5)*J14,""),0)</f>
        <v>0</v>
      </c>
      <c r="R14" s="336">
        <f>IF('Personnel Yr 1'!$J$5&gt;2,IF(NOT(OR(ISBLANK(K14),K14="")),(H14/8.5)*K14,""),0)</f>
        <v>0</v>
      </c>
      <c r="T14" s="347">
        <f t="shared" si="0"/>
        <v>0</v>
      </c>
      <c r="U14" s="347">
        <f t="shared" si="0"/>
        <v>0</v>
      </c>
      <c r="V14" s="347">
        <f t="shared" si="1"/>
        <v>0</v>
      </c>
      <c r="X14" s="336">
        <v>14</v>
      </c>
      <c r="Y14" s="336" t="b">
        <f>IF('Personnel Yr 1'!$J$5&gt;2,IF(OR($N$5&lt;&gt;"Federal - NIH",OR(AND(ISBLANK(I14),ISBLANK(J14),ISBLANK(K14)),AND(I14="",J14="",K14=""))),FALSE,IF(I14&gt;0,H14&gt;NIHSalaryCap,H14&gt;(NIHSalaryCap*8.5)/12)),FALSE)</f>
        <v>0</v>
      </c>
    </row>
    <row r="15" spans="1:25" ht="13.5" thickBot="1" x14ac:dyDescent="0.25">
      <c r="A15" s="5">
        <v>9</v>
      </c>
      <c r="B15" s="27">
        <f>B59</f>
        <v>0</v>
      </c>
      <c r="C15" s="563" t="s">
        <v>52</v>
      </c>
      <c r="D15" s="563"/>
      <c r="E15" s="563"/>
      <c r="F15" s="563"/>
      <c r="G15" s="573" t="s">
        <v>63</v>
      </c>
      <c r="H15" s="573"/>
      <c r="I15" s="573"/>
      <c r="J15" s="573"/>
      <c r="K15" s="573"/>
      <c r="L15" s="573"/>
      <c r="M15" s="574"/>
      <c r="N15" s="56">
        <f>N59</f>
        <v>0</v>
      </c>
      <c r="P15" s="336">
        <f>SUM(P7:P14)</f>
        <v>0</v>
      </c>
      <c r="Q15" s="336">
        <f t="shared" ref="Q15:V15" si="2">SUM(Q7:Q14)</f>
        <v>0</v>
      </c>
      <c r="R15" s="336">
        <f t="shared" si="2"/>
        <v>0</v>
      </c>
      <c r="T15" s="336">
        <f t="shared" si="2"/>
        <v>0</v>
      </c>
      <c r="U15" s="336">
        <f t="shared" si="2"/>
        <v>0</v>
      </c>
      <c r="V15" s="336">
        <f t="shared" si="2"/>
        <v>0</v>
      </c>
    </row>
    <row r="16" spans="1:25" ht="13.5" thickBot="1" x14ac:dyDescent="0.25">
      <c r="B16" s="27">
        <f>SUM(ROWS(E7:E14)-COUNTIF(E7:E14,""),B15)</f>
        <v>0</v>
      </c>
      <c r="C16" s="569" t="s">
        <v>51</v>
      </c>
      <c r="D16" s="570"/>
      <c r="E16" s="570"/>
      <c r="F16" s="570"/>
      <c r="G16" s="9"/>
      <c r="H16" s="10"/>
      <c r="I16" s="10"/>
      <c r="J16" s="571" t="s">
        <v>34</v>
      </c>
      <c r="K16" s="571"/>
      <c r="L16" s="571"/>
      <c r="M16" s="572"/>
      <c r="N16" s="48">
        <f>SUM(N7:N15)</f>
        <v>0</v>
      </c>
    </row>
    <row r="17" spans="2:26" x14ac:dyDescent="0.2">
      <c r="B17" s="9"/>
      <c r="C17" s="9"/>
      <c r="D17" s="9"/>
      <c r="E17" s="9"/>
      <c r="F17" s="9"/>
      <c r="G17" s="9"/>
      <c r="H17" s="10"/>
      <c r="I17" s="10"/>
      <c r="J17" s="11"/>
      <c r="K17" s="11"/>
      <c r="L17" s="11"/>
      <c r="M17" s="11"/>
      <c r="N17" s="10"/>
    </row>
    <row r="18" spans="2:26" x14ac:dyDescent="0.2">
      <c r="B18" s="9"/>
      <c r="C18" s="9"/>
      <c r="D18" s="9"/>
      <c r="E18" s="9"/>
      <c r="F18" s="9"/>
      <c r="G18" s="9"/>
      <c r="H18" s="9"/>
      <c r="I18" s="9"/>
      <c r="J18" s="11"/>
      <c r="K18" s="11"/>
      <c r="L18" s="11"/>
      <c r="M18" s="11"/>
      <c r="N18" s="9"/>
    </row>
    <row r="19" spans="2:26" x14ac:dyDescent="0.2">
      <c r="B19" s="575" t="s">
        <v>6</v>
      </c>
      <c r="C19" s="575"/>
      <c r="D19" s="576" t="s">
        <v>96</v>
      </c>
      <c r="E19" s="576"/>
      <c r="F19" s="576"/>
      <c r="G19" s="576"/>
      <c r="H19" s="576"/>
      <c r="I19" s="576"/>
      <c r="J19" s="576"/>
      <c r="K19" s="576"/>
    </row>
    <row r="20" spans="2:26"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6" x14ac:dyDescent="0.2">
      <c r="B21" s="16" t="str">
        <f>IF('Personnel Yr 1'!$J$5&gt;2,IF(OR(ISBLANK('Personnel Yr 2'!B21),'Personnel Yr 2'!B21=""),"",'Personnel Yr 2'!B21),"")</f>
        <v/>
      </c>
      <c r="C21" s="578" t="s">
        <v>8</v>
      </c>
      <c r="D21" s="578"/>
      <c r="E21" s="578"/>
      <c r="F21" s="578"/>
      <c r="G21" s="578"/>
      <c r="H21" s="579"/>
      <c r="I21" s="17" t="str">
        <f>IF('Personnel Yr 1'!$J$5&gt;2,IF(OR(ISBLANK('Personnel Yr 2'!I21),'Personnel Yr 2'!I21=""),"",'Personnel Yr 2'!I21),"")</f>
        <v/>
      </c>
      <c r="J21" s="17" t="str">
        <f>IF('Personnel Yr 1'!$J$5&gt;2,IF(OR(ISBLANK('Personnel Yr 2'!J21),'Personnel Yr 2'!J21=""),"",'Personnel Yr 2'!J21),"")</f>
        <v/>
      </c>
      <c r="K21" s="17" t="str">
        <f>IF('Personnel Yr 1'!$J$5&gt;2,IF(OR(ISBLANK('Personnel Yr 2'!K21),'Personnel Yr 2'!K21=""),"",'Personnel Yr 2'!K21),"")</f>
        <v/>
      </c>
      <c r="L21" s="41" t="str">
        <f>IF('Personnel Yr 1'!$J$5&gt;2,IF(NOT(OR(ISBLANK('Personnel Yr 2'!L21),'Personnel Yr 2'!L21="")),(('Personnel Yr 2'!L21*'Personnel Yr 1'!$D$5)+'Personnel Yr 2'!L21),""),"")</f>
        <v/>
      </c>
      <c r="M21" s="49" t="str">
        <f>IF('Personnel Yr 1'!$J$5&gt;2,IF(OR(ISBLANK(L21),L21=""),"",ROUND(L21*LOOKUP("Full",Ben,Per),2)),"")</f>
        <v/>
      </c>
      <c r="N21" s="272" t="str">
        <f>IF('Personnel Yr 1'!$J$5&gt;2,IF(OR(ISBLANK(L21),L21=""),"",ROUND(SUM(L21:M21),2)),"")</f>
        <v/>
      </c>
      <c r="O21" s="162"/>
    </row>
    <row r="22" spans="2:26" x14ac:dyDescent="0.2">
      <c r="B22" s="18" t="str">
        <f>IF('Personnel Yr 1'!$J$5&gt;2,IF(OR(ISBLANK('Personnel Yr 2'!B22),'Personnel Yr 2'!B22=""),"",'Personnel Yr 2'!B22),"")</f>
        <v/>
      </c>
      <c r="C22" s="580" t="s">
        <v>73</v>
      </c>
      <c r="D22" s="581"/>
      <c r="E22" s="581"/>
      <c r="F22" s="581"/>
      <c r="G22" s="581"/>
      <c r="H22" s="583"/>
      <c r="I22" s="19" t="str">
        <f>IF('Personnel Yr 1'!$J$5&gt;2,IF(OR(ISBLANK('Personnel Yr 2'!I22),'Personnel Yr 2'!I22=""),"",'Personnel Yr 2'!I22),"")</f>
        <v/>
      </c>
      <c r="J22" s="19" t="str">
        <f>IF('Personnel Yr 1'!$J$5&gt;2,IF(OR(ISBLANK('Personnel Yr 2'!J22),'Personnel Yr 2'!J22=""),"",'Personnel Yr 2'!J22),"")</f>
        <v/>
      </c>
      <c r="K22" s="19" t="str">
        <f>IF('Personnel Yr 1'!$J$5&gt;2,IF(OR(ISBLANK('Personnel Yr 2'!K22),'Personnel Yr 2'!K22=""),"",'Personnel Yr 2'!K22),"")</f>
        <v/>
      </c>
      <c r="L22" s="53" t="str">
        <f>IF('Personnel Yr 1'!$J$5&gt;2,IF(NOT(OR(ISBLANK('Personnel Yr 2'!L22),'Personnel Yr 2'!L22="")),(('Personnel Yr 2'!L22*'Personnel Yr 1'!$D$5)+'Personnel Yr 2'!L22),""),"")</f>
        <v/>
      </c>
      <c r="M22" s="49" t="str">
        <f>IF('Personnel Yr 1'!$J$5&gt;2,IF(OR(ISBLANK(L22),L22=""),"",ROUND(L22*LOOKUP("Full",Ben,Per),2)),"")</f>
        <v/>
      </c>
      <c r="N22" s="272" t="str">
        <f>IF('Personnel Yr 1'!$J$5&gt;2,IF(OR(ISBLANK(L22),L22=""),"",ROUND(SUM(L22:M22),2)),"")</f>
        <v/>
      </c>
      <c r="O22" s="165"/>
    </row>
    <row r="23" spans="2:26" x14ac:dyDescent="0.2">
      <c r="B23" s="20" t="str">
        <f>IF('Personnel Yr 1'!$J$5&gt;2,IF(OR(ISBLANK('Personnel Yr 2'!B23),'Personnel Yr 2'!B23=""),"",'Personnel Yr 2'!B23),"")</f>
        <v/>
      </c>
      <c r="C23" s="580" t="s">
        <v>9</v>
      </c>
      <c r="D23" s="581"/>
      <c r="E23" s="581"/>
      <c r="F23" s="581"/>
      <c r="G23" s="429"/>
      <c r="H23" s="68" t="str">
        <f>IF('Personnel Yr 1'!$J$5&gt;2,IF(OR(ISBLANK('Personnel Yr 2'!H23),'Personnel Yr 2'!H23=""),"",'Personnel Yr 2'!H23),"")</f>
        <v/>
      </c>
      <c r="I23" s="21" t="str">
        <f>IF('Personnel Yr 1'!$J$5&gt;2,IF(OR(ISBLANK('Personnel Yr 2'!I23),'Personnel Yr 2'!I23=""),"",'Personnel Yr 2'!I23),"")</f>
        <v/>
      </c>
      <c r="J23" s="21" t="str">
        <f>IF('Personnel Yr 1'!$J$5&gt;2,IF(OR(ISBLANK('Personnel Yr 2'!J23),'Personnel Yr 2'!J23=""),"",'Personnel Yr 2'!J23),"")</f>
        <v/>
      </c>
      <c r="K23" s="21" t="str">
        <f>IF('Personnel Yr 1'!$J$5&gt;2,IF(OR(ISBLANK('Personnel Yr 2'!K23),'Personnel Yr 2'!K23=""),"",'Personnel Yr 2'!K23),"")</f>
        <v/>
      </c>
      <c r="L23" s="42" t="str">
        <f>IF('Personnel Yr 1'!$J$5&gt;2,IF(NOT(OR(ISBLANK('Personnel Yr 2'!L23),'Personnel Yr 2'!L23="")),(('Personnel Yr 2'!L23*'Personnel Yr 1'!$D$5)+'Personnel Yr 2'!L23),""),"")</f>
        <v/>
      </c>
      <c r="M23" s="47" t="str">
        <f>IF('Personnel Yr 1'!$J$5&gt;2,IF(OR(ISBLANK(L23),L23=""),"",ROUND(L23*LOOKUP(H23,Grad,GradR),2)),"")</f>
        <v/>
      </c>
      <c r="N23" s="272" t="str">
        <f>IF('Personnel Yr 1'!$J$5&gt;2,IF(OR(ISBLANK(L23),L23=""),"",ROUND(SUM(L23:M23),2)),"")</f>
        <v/>
      </c>
      <c r="O23" s="165"/>
    </row>
    <row r="24" spans="2:26" x14ac:dyDescent="0.2">
      <c r="B24" s="20" t="str">
        <f>IF('Personnel Yr 1'!$J$5&gt;2,IF(OR(ISBLANK('Personnel Yr 2'!B24),'Personnel Yr 2'!B24=""),"",'Personnel Yr 2'!B24),"")</f>
        <v/>
      </c>
      <c r="C24" s="581" t="s">
        <v>10</v>
      </c>
      <c r="D24" s="581"/>
      <c r="E24" s="581"/>
      <c r="F24" s="581"/>
      <c r="G24" s="581"/>
      <c r="H24" s="582"/>
      <c r="I24" s="22" t="str">
        <f>IF('Personnel Yr 1'!$J$5&gt;2,IF(OR(ISBLANK('Personnel Yr 2'!I24),'Personnel Yr 2'!I24=""),"",'Personnel Yr 2'!I24),"")</f>
        <v/>
      </c>
      <c r="J24" s="22" t="str">
        <f>IF('Personnel Yr 1'!$J$5&gt;2,IF(OR(ISBLANK('Personnel Yr 2'!J24),'Personnel Yr 2'!J24=""),"",'Personnel Yr 2'!J24),"")</f>
        <v/>
      </c>
      <c r="K24" s="22" t="str">
        <f>IF('Personnel Yr 1'!$J$5&gt;2,IF(OR(ISBLANK('Personnel Yr 2'!K24),'Personnel Yr 2'!K24=""),"",'Personnel Yr 2'!K24),"")</f>
        <v/>
      </c>
      <c r="L24" s="54" t="str">
        <f>IF('Personnel Yr 1'!$J$5&gt;2,IF(NOT(OR(ISBLANK('Personnel Yr 2'!L24),'Personnel Yr 2'!L24="")),(('Personnel Yr 2'!L24*'Personnel Yr 1'!$D$5)+'Personnel Yr 2'!L24),""),"")</f>
        <v/>
      </c>
      <c r="M24" s="47" t="str">
        <f>IF('Personnel Yr 1'!$J$5&gt;2,IF(OR(ISBLANK(L24),L24=""),"",ROUND(L24*LOOKUP("Temp",Ben,Per),2)),"")</f>
        <v/>
      </c>
      <c r="N24" s="272" t="str">
        <f>IF('Personnel Yr 1'!$J$5&gt;2,IF(OR(ISBLANK(L24),L24=""),"",ROUND(SUM(L24:M24),2)),"")</f>
        <v/>
      </c>
      <c r="O24" s="165"/>
    </row>
    <row r="25" spans="2:26" x14ac:dyDescent="0.2">
      <c r="B25" s="20" t="str">
        <f>IF('Personnel Yr 1'!$J$5&gt;2,IF(OR(ISBLANK('Personnel Yr 2'!B25),'Personnel Yr 2'!B25=""),"",'Personnel Yr 2'!B25),"")</f>
        <v/>
      </c>
      <c r="C25" s="617" t="s">
        <v>504</v>
      </c>
      <c r="D25" s="581"/>
      <c r="E25" s="581"/>
      <c r="F25" s="581"/>
      <c r="G25" s="581"/>
      <c r="H25" s="582"/>
      <c r="I25" s="22" t="str">
        <f>IF('Personnel Yr 1'!$J$5&gt;2,IF(OR(ISBLANK('Personnel Yr 2'!I25),'Personnel Yr 2'!I25=""),"",'Personnel Yr 2'!I25),"")</f>
        <v/>
      </c>
      <c r="J25" s="22" t="str">
        <f>IF('Personnel Yr 1'!$J$5&gt;2,IF(OR(ISBLANK('Personnel Yr 2'!J25),'Personnel Yr 2'!J25=""),"",'Personnel Yr 2'!J25),"")</f>
        <v/>
      </c>
      <c r="K25" s="22" t="str">
        <f>IF('Personnel Yr 1'!$J$5&gt;2,IF(OR(ISBLANK('Personnel Yr 2'!K25),'Personnel Yr 2'!K25=""),"",'Personnel Yr 2'!K25),"")</f>
        <v/>
      </c>
      <c r="L25" s="54" t="str">
        <f>IF('Personnel Yr 1'!$J$5&gt;2,IF(NOT(OR(ISBLANK('Personnel Yr 2'!L25),'Personnel Yr 2'!L25="")),(('Personnel Yr 2'!L25*'Personnel Yr 1'!$D$5)+'Personnel Yr 2'!L25),""),"")</f>
        <v/>
      </c>
      <c r="M25" s="47" t="str">
        <f>IF('Personnel Yr 1'!$J$5&gt;2,IF(OR(ISBLANK(L25),L25=""),"",ROUND(L25*LOOKUP("Full",Ben,Per),2)),"")</f>
        <v/>
      </c>
      <c r="N25" s="272" t="str">
        <f>IF('Personnel Yr 1'!$J$5&gt;2,IF(OR(ISBLANK(L25),L25=""),"",ROUND(SUM(L25:M25),2)),"")</f>
        <v/>
      </c>
      <c r="O25" s="165"/>
    </row>
    <row r="26" spans="2:26" x14ac:dyDescent="0.2">
      <c r="B26" s="20" t="str">
        <f>IF('Personnel Yr 1'!$J$5&gt;2,IF(OR(ISBLANK('Personnel Yr 2'!B26),'Personnel Yr 2'!B26=""),"",'Personnel Yr 2'!B26),"")</f>
        <v/>
      </c>
      <c r="C26" s="581" t="s">
        <v>72</v>
      </c>
      <c r="D26" s="581"/>
      <c r="E26" s="581"/>
      <c r="F26" s="581"/>
      <c r="G26" s="581"/>
      <c r="H26" s="582"/>
      <c r="I26" s="22" t="str">
        <f>IF('Personnel Yr 1'!$J$5&gt;2,IF(OR(ISBLANK('Personnel Yr 2'!I26),'Personnel Yr 2'!I26=""),"",'Personnel Yr 2'!I26),"")</f>
        <v/>
      </c>
      <c r="J26" s="22" t="str">
        <f>IF('Personnel Yr 1'!$J$5&gt;2,IF(OR(ISBLANK('Personnel Yr 2'!J26),'Personnel Yr 2'!J26=""),"",'Personnel Yr 2'!J26),"")</f>
        <v/>
      </c>
      <c r="K26" s="22" t="str">
        <f>IF('Personnel Yr 1'!$J$5&gt;2,IF(OR(ISBLANK('Personnel Yr 2'!K26),'Personnel Yr 2'!K26=""),"",'Personnel Yr 2'!K26),"")</f>
        <v/>
      </c>
      <c r="L26" s="54" t="str">
        <f>IF('Personnel Yr 1'!$J$5&gt;2,IF(NOT(OR(ISBLANK('Personnel Yr 2'!L26),'Personnel Yr 2'!L26="")),(('Personnel Yr 2'!L26*'Personnel Yr 1'!$D$5)+'Personnel Yr 2'!L26),""),"")</f>
        <v/>
      </c>
      <c r="M26" s="44" t="str">
        <f>IF('Personnel Yr 1'!$J$5&gt;2,IF(OR(ISBLANK(L26),L26=""),"",ROUND(L26*LOOKUP("Temp",Ben,Per),2)),"")</f>
        <v/>
      </c>
      <c r="N26" s="273" t="str">
        <f>IF('Personnel Yr 1'!$J$5&gt;2,IF(OR(ISBLANK(L26),L26=""),"",ROUND(SUM(L26:M26),2)),"")</f>
        <v/>
      </c>
      <c r="O26" s="271"/>
    </row>
    <row r="27" spans="2:26" s="257" customFormat="1" x14ac:dyDescent="0.2">
      <c r="B27" s="20"/>
      <c r="C27" s="589" t="s">
        <v>421</v>
      </c>
      <c r="D27" s="588"/>
      <c r="E27" s="588"/>
      <c r="F27" s="588"/>
      <c r="G27" s="588"/>
      <c r="H27" s="588"/>
      <c r="I27" s="22"/>
      <c r="J27" s="22"/>
      <c r="K27" s="22"/>
      <c r="L27" s="54" t="str">
        <f>IF('Personnel Yr 1'!$J$5&gt;2,IF(NOT(OR(ISBLANK('Personnel Yr 2'!L27),'Personnel Yr 2'!L27="")),(('Personnel Yr 2'!L27*'Personnel Yr 1'!$D$5)+'Personnel Yr 2'!L27),""),"")</f>
        <v/>
      </c>
      <c r="M27" s="44" t="str">
        <f>IF('Personnel Yr 1'!$J$5&gt;2,IF(OR(ISBLANK(L27),L27=""),"",ROUND(L27*LOOKUP("Temp",Ben,Per),2)),"")</f>
        <v/>
      </c>
      <c r="N27" s="273" t="str">
        <f>IF('Personnel Yr 1'!$J$5&gt;2,IF(OR(ISBLANK(L27),L27=""),"",ROUND(SUM(L27:M27),2)),"")</f>
        <v/>
      </c>
      <c r="O27" s="20"/>
      <c r="P27" s="336"/>
      <c r="Q27" s="336"/>
      <c r="R27" s="336"/>
      <c r="S27" s="336"/>
      <c r="T27" s="336"/>
      <c r="U27" s="336"/>
      <c r="V27" s="336"/>
      <c r="W27" s="336"/>
      <c r="X27" s="336"/>
      <c r="Y27" s="336"/>
      <c r="Z27" s="338"/>
    </row>
    <row r="28" spans="2:26" s="257" customFormat="1" ht="13.5" thickBot="1" x14ac:dyDescent="0.25">
      <c r="B28" s="164"/>
      <c r="C28" s="590" t="s">
        <v>422</v>
      </c>
      <c r="D28" s="591"/>
      <c r="E28" s="591"/>
      <c r="F28" s="591"/>
      <c r="G28" s="591"/>
      <c r="H28" s="591"/>
      <c r="I28" s="29"/>
      <c r="J28" s="29"/>
      <c r="K28" s="29"/>
      <c r="L28" s="54" t="str">
        <f>IF('Personnel Yr 1'!$J$5&gt;2,IF(NOT(OR(ISBLANK('Personnel Yr 2'!L28),'Personnel Yr 2'!L28="")),(('Personnel Yr 2'!L28*'Personnel Yr 1'!$D$5)+'Personnel Yr 2'!L28),""),"")</f>
        <v/>
      </c>
      <c r="M28" s="52" t="str">
        <f>IF('Personnel Yr 1'!$J$5&gt;2,IF(OR(ISBLANK(L28),L28=""),"",ROUND(L28*LOOKUP("Adjunct",Ben,Per),2)),"")</f>
        <v/>
      </c>
      <c r="N28" s="274" t="str">
        <f>IF('Personnel Yr 1'!$J$5&gt;2,IF(OR(ISBLANK(L28),L28=""),"",ROUND(SUM(L28:M28),2)),"")</f>
        <v/>
      </c>
      <c r="O28" s="164"/>
      <c r="P28" s="336"/>
      <c r="Q28" s="336"/>
      <c r="R28" s="336"/>
      <c r="S28" s="336"/>
      <c r="T28" s="336"/>
      <c r="U28" s="336"/>
      <c r="V28" s="336"/>
      <c r="W28" s="336"/>
      <c r="X28" s="336"/>
      <c r="Y28" s="336"/>
      <c r="Z28" s="338"/>
    </row>
    <row r="29" spans="2:26" ht="13.5" thickBot="1" x14ac:dyDescent="0.25">
      <c r="B29" s="27">
        <f>SUM(B21:B26)</f>
        <v>0</v>
      </c>
      <c r="C29" s="618" t="s">
        <v>11</v>
      </c>
      <c r="D29" s="563"/>
      <c r="E29" s="563"/>
      <c r="F29" s="563"/>
      <c r="G29" s="23"/>
      <c r="H29" s="23"/>
      <c r="I29" s="573" t="s">
        <v>12</v>
      </c>
      <c r="J29" s="619"/>
      <c r="K29" s="619"/>
      <c r="L29" s="619"/>
      <c r="M29" s="620"/>
      <c r="N29" s="56">
        <f>ROUND(SUM(N21:N28),2)</f>
        <v>0</v>
      </c>
    </row>
    <row r="30" spans="2:26" ht="13.5" thickBot="1" x14ac:dyDescent="0.25">
      <c r="B30" s="9"/>
      <c r="C30" s="24"/>
      <c r="D30" s="24"/>
      <c r="E30" s="24"/>
      <c r="F30" s="24"/>
      <c r="G30" s="24"/>
      <c r="H30" s="25"/>
      <c r="I30" s="571" t="s">
        <v>13</v>
      </c>
      <c r="J30" s="571"/>
      <c r="K30" s="571"/>
      <c r="L30" s="571"/>
      <c r="M30" s="572"/>
      <c r="N30" s="48">
        <f>ROUND(SUM(N16,N29),2)</f>
        <v>0</v>
      </c>
    </row>
    <row r="32" spans="2:26" ht="13.5" thickBot="1" x14ac:dyDescent="0.25">
      <c r="G32" s="339"/>
    </row>
    <row r="33" spans="1:25" ht="12.75" customHeight="1" x14ac:dyDescent="0.2">
      <c r="G33" s="339"/>
      <c r="H33" s="555" t="s">
        <v>235</v>
      </c>
      <c r="I33" s="556"/>
      <c r="J33" s="556"/>
      <c r="K33" s="556"/>
      <c r="L33" s="557"/>
    </row>
    <row r="34" spans="1:25" ht="12.75" customHeight="1" thickBot="1" x14ac:dyDescent="0.25">
      <c r="G34" s="339"/>
      <c r="H34" s="558"/>
      <c r="I34" s="559"/>
      <c r="J34" s="559"/>
      <c r="K34" s="559"/>
      <c r="L34" s="560"/>
    </row>
    <row r="35" spans="1:25" ht="12.75" customHeight="1" x14ac:dyDescent="0.2">
      <c r="G35" s="339"/>
      <c r="H35" s="546" t="s">
        <v>240</v>
      </c>
      <c r="I35" s="609"/>
      <c r="J35" s="609"/>
      <c r="K35" s="609"/>
      <c r="L35" s="610"/>
    </row>
    <row r="36" spans="1:25" ht="12.75" customHeight="1" x14ac:dyDescent="0.2">
      <c r="G36" s="339"/>
      <c r="H36" s="611"/>
      <c r="I36" s="612"/>
      <c r="J36" s="612"/>
      <c r="K36" s="612"/>
      <c r="L36" s="613"/>
    </row>
    <row r="37" spans="1:25" ht="12.75" customHeight="1" x14ac:dyDescent="0.2">
      <c r="G37" s="339"/>
      <c r="H37" s="611"/>
      <c r="I37" s="612"/>
      <c r="J37" s="612"/>
      <c r="K37" s="612"/>
      <c r="L37" s="613"/>
    </row>
    <row r="38" spans="1:25" ht="12.75" customHeight="1" x14ac:dyDescent="0.2">
      <c r="G38" s="339"/>
      <c r="H38" s="611"/>
      <c r="I38" s="612"/>
      <c r="J38" s="612"/>
      <c r="K38" s="612"/>
      <c r="L38" s="613"/>
    </row>
    <row r="39" spans="1:25" ht="12.75" customHeight="1" thickBot="1" x14ac:dyDescent="0.25">
      <c r="G39" s="339"/>
      <c r="H39" s="614"/>
      <c r="I39" s="615"/>
      <c r="J39" s="615"/>
      <c r="K39" s="615"/>
      <c r="L39" s="616"/>
    </row>
    <row r="40" spans="1:25" ht="12.75" customHeight="1" thickBot="1" x14ac:dyDescent="0.25">
      <c r="H40" s="174" t="s">
        <v>236</v>
      </c>
      <c r="I40" s="167"/>
      <c r="J40" s="173" t="s">
        <v>237</v>
      </c>
      <c r="K40" s="173" t="s">
        <v>238</v>
      </c>
      <c r="L40" s="172" t="s">
        <v>239</v>
      </c>
    </row>
    <row r="41" spans="1:25" ht="12.75" customHeight="1" thickBot="1" x14ac:dyDescent="0.25">
      <c r="H41" s="168">
        <v>0</v>
      </c>
      <c r="I41" s="169"/>
      <c r="J41" s="170">
        <f>H41*12</f>
        <v>0</v>
      </c>
      <c r="K41" s="170">
        <f>H41*8.5</f>
        <v>0</v>
      </c>
      <c r="L41" s="171">
        <f>H41*3.5</f>
        <v>0</v>
      </c>
    </row>
    <row r="42" spans="1:25" x14ac:dyDescent="0.2">
      <c r="B42" s="545" t="s">
        <v>242</v>
      </c>
      <c r="C42" s="545"/>
      <c r="D42" s="545"/>
    </row>
    <row r="43" spans="1:25" ht="26.25"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T43" s="335" t="s">
        <v>66</v>
      </c>
      <c r="U43" s="335" t="s">
        <v>67</v>
      </c>
      <c r="V43" s="335" t="s">
        <v>68</v>
      </c>
      <c r="Y43" s="336" t="s">
        <v>464</v>
      </c>
    </row>
    <row r="44" spans="1:25" x14ac:dyDescent="0.2">
      <c r="A44" s="5">
        <v>1</v>
      </c>
      <c r="B44" s="28" t="str">
        <f>IF('Personnel Yr 1'!$J$5&gt;2,IF(NOT(OR(ISBLANK('Personnel Yr 2'!B44),'Personnel Yr 2'!B44="")),'Personnel Yr 2'!B44,""),"")</f>
        <v/>
      </c>
      <c r="C44" s="17" t="str">
        <f>IF('Personnel Yr 1'!$J$5&gt;2,IF(ISBLANK('Personnel Yr 2'!C44),"",'Personnel Yr 2'!C44),"")</f>
        <v/>
      </c>
      <c r="D44" s="17" t="str">
        <f>IF('Personnel Yr 1'!$J$5&gt;2,IF(ISBLANK('Personnel Yr 2'!D44),"",'Personnel Yr 2'!D44),"")</f>
        <v/>
      </c>
      <c r="E44" s="183" t="str">
        <f>IF('Personnel Yr 1'!$J$5&gt;2,IF(ISBLANK('Personnel Yr 2'!E44),"",'Personnel Yr 2'!E44),"")</f>
        <v/>
      </c>
      <c r="F44" s="17" t="str">
        <f>IF('Personnel Yr 1'!$J$5&gt;2,IF(ISBLANK('Personnel Yr 2'!F44),"",'Personnel Yr 2'!F44),"")</f>
        <v/>
      </c>
      <c r="G44" s="176" t="str">
        <f>IF('Personnel Yr 1'!$J$5&gt;2,IF(ISBLANK('Personnel Yr 2'!G44),"",'Personnel Yr 2'!G44),"")</f>
        <v/>
      </c>
      <c r="H44" s="177" t="str">
        <f>IF('Personnel Yr 1'!$J$5&gt;2,IF(NOT(OR(ISBLANK('Personnel Yr 2'!H44),'Personnel Yr 2'!H44="")),(('Personnel Yr 2'!H44*'Personnel Yr 1'!$D$5)+'Personnel Yr 2'!H44),""),"")</f>
        <v/>
      </c>
      <c r="I44" s="17" t="str">
        <f>IF('Personnel Yr 1'!$J$5&gt;2,IF(AND(OR(ISBLANK(H44),H44=""),ISBLANK('Personnel Yr 2'!I44)),"",'Personnel Yr 2'!I44),"")</f>
        <v/>
      </c>
      <c r="J44" s="17" t="str">
        <f>IF('Personnel Yr 1'!$J$5&gt;2,IF(AND(OR(ISBLANK(I44),I44=""),ISBLANK('Personnel Yr 2'!J44)),"",'Personnel Yr 2'!J44),"")</f>
        <v/>
      </c>
      <c r="K44" s="17" t="str">
        <f>IF('Personnel Yr 1'!$J$5&gt;2,IF(AND(OR(ISBLANK(J44),J44=""),ISBLANK('Personnel Yr 2'!K44)),"",'Personnel Yr 2'!K44),"")</f>
        <v/>
      </c>
      <c r="L44" s="45" t="str">
        <f>IF('Personnel Yr 1'!$J$5&gt;2,IF(NOT(OR(ISBLANK(H44),H44="")),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1'!$J$5&gt;2,IF(OR(ISBLANK(L44),L44=""),"",ROUND(SUM(T44:V44),2)),"")</f>
        <v/>
      </c>
      <c r="N44" s="46" t="str">
        <f>IF('Personnel Yr 1'!$J$5&gt;2,IF(OR(ISBLANK(M44),M44=""),"",ROUND(SUM(L44:M44),2)),"")</f>
        <v/>
      </c>
      <c r="O44" s="158"/>
      <c r="P44" s="336">
        <f>IF('Personnel Yr 1'!$J$5&gt;2,IF(NOT(OR(ISBLANK(I44),I44="")),(H44/12)*I44,""),0)</f>
        <v>0</v>
      </c>
      <c r="Q44" s="337">
        <f>IF('Personnel Yr 1'!$J$5&gt;2,IF(NOT(OR(ISBLANK(J44),J44="")),(H44/8.5)*J44,""),0)</f>
        <v>0</v>
      </c>
      <c r="R44" s="336">
        <f>IF('Personnel Yr 1'!$J$5&gt;2,IF(NOT(OR(ISBLANK(K44),K44="")),(H44/8.5)*K44,""),0)</f>
        <v>0</v>
      </c>
      <c r="T44" s="336">
        <f t="shared" ref="T44:T58" si="3">IF(OR(ISBLANK(P44),P44=""),0,P44*LOOKUP("Full",Ben,Per))</f>
        <v>0</v>
      </c>
      <c r="U44" s="336">
        <f t="shared" ref="U44:U58" si="4">IF(OR(ISBLANK(Q44),Q44=""),0,Q44*LOOKUP("Full",Ben,Per))</f>
        <v>0</v>
      </c>
      <c r="V44" s="336">
        <f t="shared" ref="V44:V58" si="5">IF(OR(ISBLANK(R44),R44=""),0,R44*LOOKUP("Summer",Ben,Per))</f>
        <v>0</v>
      </c>
      <c r="X44" s="336">
        <v>44</v>
      </c>
      <c r="Y44" s="336" t="b">
        <f>IF('Personnel Yr 1'!$J$5&gt;2,IF(OR($N$5&lt;&gt;"Federal - NIH",OR(AND(ISBLANK(I44),ISBLANK(J44),ISBLANK(K44)),AND(I44="",J44="",K44=""))),FALSE,IF(I44&gt;0,H44&gt;NIHSalaryCap,H44&gt;(NIHSalaryCap*8.5)/12)),FALSE)</f>
        <v>0</v>
      </c>
    </row>
    <row r="45" spans="1:25" x14ac:dyDescent="0.2">
      <c r="A45" s="5">
        <v>2</v>
      </c>
      <c r="B45" s="6" t="str">
        <f>IF('Personnel Yr 1'!$J$5&gt;2,IF(NOT(OR(ISBLANK('Personnel Yr 2'!B45),'Personnel Yr 2'!B45="")),'Personnel Yr 2'!B45,""),"")</f>
        <v/>
      </c>
      <c r="C45" s="22" t="str">
        <f>IF('Personnel Yr 1'!$J$5&gt;2,IF(ISBLANK('Personnel Yr 2'!C45),"",'Personnel Yr 2'!C45),"")</f>
        <v/>
      </c>
      <c r="D45" s="22" t="str">
        <f>IF('Personnel Yr 1'!$J$5&gt;2,IF(ISBLANK('Personnel Yr 2'!D45),"",'Personnel Yr 2'!D45),"")</f>
        <v/>
      </c>
      <c r="E45" s="22" t="str">
        <f>IF('Personnel Yr 1'!$J$5&gt;2,IF(ISBLANK('Personnel Yr 2'!E45),"",'Personnel Yr 2'!E45),"")</f>
        <v/>
      </c>
      <c r="F45" s="22" t="str">
        <f>IF('Personnel Yr 1'!$J$5&gt;2,IF(ISBLANK('Personnel Yr 2'!F45),"",'Personnel Yr 2'!F45),"")</f>
        <v/>
      </c>
      <c r="G45" s="22" t="str">
        <f>IF('Personnel Yr 1'!$J$5&gt;2,IF(ISBLANK('Personnel Yr 2'!G45),"",'Personnel Yr 2'!G45),"")</f>
        <v/>
      </c>
      <c r="H45" s="42" t="str">
        <f>IF('Personnel Yr 1'!$J$5&gt;2,IF(NOT(OR(ISBLANK('Personnel Yr 2'!H45),'Personnel Yr 2'!H45="")),(('Personnel Yr 2'!H45*'Personnel Yr 1'!$D$5)+'Personnel Yr 2'!H45),""),"")</f>
        <v/>
      </c>
      <c r="I45" s="22" t="str">
        <f>IF('Personnel Yr 1'!$J$5&gt;2,IF(AND(OR(ISBLANK(H45),H45=""),ISBLANK('Personnel Yr 2'!I45)),"",'Personnel Yr 2'!I45),"")</f>
        <v/>
      </c>
      <c r="J45" s="22" t="str">
        <f>IF('Personnel Yr 1'!$J$5&gt;2,IF(AND(OR(ISBLANK(I45),I45=""),ISBLANK('Personnel Yr 2'!J45)),"",'Personnel Yr 2'!J45),"")</f>
        <v/>
      </c>
      <c r="K45" s="22" t="str">
        <f>IF('Personnel Yr 1'!$J$5&gt;2,IF(AND(OR(ISBLANK(J45),J45=""),ISBLANK('Personnel Yr 2'!K45)),"",'Personnel Yr 2'!K45),"")</f>
        <v/>
      </c>
      <c r="L45" s="44" t="str">
        <f>IF('Personnel Yr 1'!$J$5&gt;2,IF(NOT(OR(ISBLANK(H45),H45="")),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1'!$J$5&gt;2,IF(OR(ISBLANK(L45),L45=""),"",ROUND(SUM(T45:V45),2)),"")</f>
        <v/>
      </c>
      <c r="N45" s="51" t="str">
        <f>IF('Personnel Yr 1'!$J$5&gt;2,IF(OR(ISBLANK(M45),M45=""),"",ROUND(SUM(L45:M45),2)),"")</f>
        <v/>
      </c>
      <c r="O45" s="157"/>
      <c r="P45" s="336">
        <f>IF('Personnel Yr 1'!$J$5&gt;2,IF(NOT(OR(ISBLANK(I45),I45="")),(H45/12)*I45,""),0)</f>
        <v>0</v>
      </c>
      <c r="Q45" s="337">
        <f>IF('Personnel Yr 1'!$J$5&gt;2,IF(NOT(OR(ISBLANK(J45),J45="")),(H45/8.5)*J45,""),0)</f>
        <v>0</v>
      </c>
      <c r="R45" s="336">
        <f>IF('Personnel Yr 1'!$J$5&gt;2,IF(NOT(OR(ISBLANK(K45),K45="")),(H45/8.5)*K45,""),0)</f>
        <v>0</v>
      </c>
      <c r="T45" s="336">
        <f t="shared" si="3"/>
        <v>0</v>
      </c>
      <c r="U45" s="336">
        <f t="shared" si="4"/>
        <v>0</v>
      </c>
      <c r="V45" s="336">
        <f t="shared" si="5"/>
        <v>0</v>
      </c>
      <c r="X45" s="336">
        <v>45</v>
      </c>
      <c r="Y45" s="336" t="b">
        <f>IF('Personnel Yr 1'!$J$5&gt;2,IF(OR($N$5&lt;&gt;"Federal - NIH",OR(AND(ISBLANK(I45),ISBLANK(J45),ISBLANK(K45)),AND(I45="",J45="",K45=""))),FALSE,IF(I45&gt;0,H45&gt;NIHSalaryCap,H45&gt;(NIHSalaryCap*8.5)/12)),FALSE)</f>
        <v>0</v>
      </c>
    </row>
    <row r="46" spans="1:25" x14ac:dyDescent="0.2">
      <c r="A46" s="5">
        <v>3</v>
      </c>
      <c r="B46" s="6" t="str">
        <f>IF('Personnel Yr 1'!$J$5&gt;2,IF(NOT(OR(ISBLANK('Personnel Yr 2'!B46),'Personnel Yr 2'!B46="")),'Personnel Yr 2'!B46,""),"")</f>
        <v/>
      </c>
      <c r="C46" s="22" t="str">
        <f>IF('Personnel Yr 1'!$J$5&gt;2,IF(ISBLANK('Personnel Yr 2'!C46),"",'Personnel Yr 2'!C46),"")</f>
        <v/>
      </c>
      <c r="D46" s="22" t="str">
        <f>IF('Personnel Yr 1'!$J$5&gt;2,IF(ISBLANK('Personnel Yr 2'!D46),"",'Personnel Yr 2'!D46),"")</f>
        <v/>
      </c>
      <c r="E46" s="22" t="str">
        <f>IF('Personnel Yr 1'!$J$5&gt;2,IF(ISBLANK('Personnel Yr 2'!E46),"",'Personnel Yr 2'!E46),"")</f>
        <v/>
      </c>
      <c r="F46" s="22" t="str">
        <f>IF('Personnel Yr 1'!$J$5&gt;2,IF(ISBLANK('Personnel Yr 2'!F46),"",'Personnel Yr 2'!F46),"")</f>
        <v/>
      </c>
      <c r="G46" s="70" t="str">
        <f>IF('Personnel Yr 1'!$J$5&gt;2,IF(ISBLANK('Personnel Yr 2'!G46),"",'Personnel Yr 2'!G46),"")</f>
        <v/>
      </c>
      <c r="H46" s="42" t="str">
        <f>IF('Personnel Yr 1'!$J$5&gt;2,IF(NOT(OR(ISBLANK('Personnel Yr 2'!H46),'Personnel Yr 2'!H46="")),(('Personnel Yr 2'!H46*'Personnel Yr 1'!$D$5)+'Personnel Yr 2'!H46),""),"")</f>
        <v/>
      </c>
      <c r="I46" s="22" t="str">
        <f>IF('Personnel Yr 1'!$J$5&gt;2,IF(AND(OR(ISBLANK(H46),H46=""),ISBLANK('Personnel Yr 2'!I46)),"",'Personnel Yr 2'!I46),"")</f>
        <v/>
      </c>
      <c r="J46" s="22" t="str">
        <f>IF('Personnel Yr 1'!$J$5&gt;2,IF(AND(OR(ISBLANK(I46),I46=""),ISBLANK('Personnel Yr 2'!J46)),"",'Personnel Yr 2'!J46),"")</f>
        <v/>
      </c>
      <c r="K46" s="22" t="str">
        <f>IF('Personnel Yr 1'!$J$5&gt;2,IF(AND(OR(ISBLANK(J46),J46=""),ISBLANK('Personnel Yr 2'!K46)),"",'Personnel Yr 2'!K46),"")</f>
        <v/>
      </c>
      <c r="L46" s="44" t="str">
        <f>IF('Personnel Yr 1'!$J$5&gt;2,IF(NOT(OR(ISBLANK(H46),H46="")),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1'!$J$5&gt;2,IF(OR(ISBLANK(L46),L46=""),"",ROUND(SUM(T46:V46),2)),"")</f>
        <v/>
      </c>
      <c r="N46" s="51" t="str">
        <f>IF('Personnel Yr 1'!$J$5&gt;2,IF(OR(ISBLANK(M46),M46=""),"",ROUND(SUM(L46:M46),2)),"")</f>
        <v/>
      </c>
      <c r="O46" s="160"/>
      <c r="P46" s="336">
        <f>IF('Personnel Yr 1'!$J$5&gt;2,IF(NOT(OR(ISBLANK(I46),I46="")),(H46/12)*I46,""),0)</f>
        <v>0</v>
      </c>
      <c r="Q46" s="337">
        <f>IF('Personnel Yr 1'!$J$5&gt;2,IF(NOT(OR(ISBLANK(J46),J46="")),(H46/8.5)*J46,""),0)</f>
        <v>0</v>
      </c>
      <c r="R46" s="336">
        <f>IF('Personnel Yr 1'!$J$5&gt;2,IF(NOT(OR(ISBLANK(K46),K46="")),(H46/8.5)*K46,""),0)</f>
        <v>0</v>
      </c>
      <c r="T46" s="336">
        <f t="shared" si="3"/>
        <v>0</v>
      </c>
      <c r="U46" s="336">
        <f t="shared" si="4"/>
        <v>0</v>
      </c>
      <c r="V46" s="336">
        <f t="shared" si="5"/>
        <v>0</v>
      </c>
      <c r="X46" s="336">
        <v>46</v>
      </c>
      <c r="Y46" s="336" t="b">
        <f>IF('Personnel Yr 1'!$J$5&gt;2,IF(OR($N$5&lt;&gt;"Federal - NIH",OR(AND(ISBLANK(I46),ISBLANK(J46),ISBLANK(K46)),AND(I46="",J46="",K46=""))),FALSE,IF(I46&gt;0,H46&gt;NIHSalaryCap,H46&gt;(NIHSalaryCap*8.5)/12)),FALSE)</f>
        <v>0</v>
      </c>
    </row>
    <row r="47" spans="1:25" x14ac:dyDescent="0.2">
      <c r="A47" s="5">
        <v>4</v>
      </c>
      <c r="B47" s="6" t="str">
        <f>IF('Personnel Yr 1'!$J$5&gt;2,IF(NOT(OR(ISBLANK('Personnel Yr 2'!B47),'Personnel Yr 2'!B47="")),'Personnel Yr 2'!B47,""),"")</f>
        <v/>
      </c>
      <c r="C47" s="22" t="str">
        <f>IF('Personnel Yr 1'!$J$5&gt;2,IF(ISBLANK('Personnel Yr 2'!C47),"",'Personnel Yr 2'!C47),"")</f>
        <v/>
      </c>
      <c r="D47" s="22" t="str">
        <f>IF('Personnel Yr 1'!$J$5&gt;2,IF(ISBLANK('Personnel Yr 2'!D47),"",'Personnel Yr 2'!D47),"")</f>
        <v/>
      </c>
      <c r="E47" s="22" t="str">
        <f>IF('Personnel Yr 1'!$J$5&gt;2,IF(ISBLANK('Personnel Yr 2'!E47),"",'Personnel Yr 2'!E47),"")</f>
        <v/>
      </c>
      <c r="F47" s="22" t="str">
        <f>IF('Personnel Yr 1'!$J$5&gt;2,IF(ISBLANK('Personnel Yr 2'!F47),"",'Personnel Yr 2'!F47),"")</f>
        <v/>
      </c>
      <c r="G47" s="71" t="str">
        <f>IF('Personnel Yr 1'!$J$5&gt;2,IF(ISBLANK('Personnel Yr 2'!G47),"",'Personnel Yr 2'!G47),"")</f>
        <v/>
      </c>
      <c r="H47" s="42" t="str">
        <f>IF('Personnel Yr 1'!$J$5&gt;2,IF(NOT(OR(ISBLANK('Personnel Yr 2'!H47),'Personnel Yr 2'!H47="")),(('Personnel Yr 2'!H47*'Personnel Yr 1'!$D$5)+'Personnel Yr 2'!H47),""),"")</f>
        <v/>
      </c>
      <c r="I47" s="22" t="str">
        <f>IF('Personnel Yr 1'!$J$5&gt;2,IF(AND(OR(ISBLANK(H47),H47=""),ISBLANK('Personnel Yr 2'!I47)),"",'Personnel Yr 2'!I47),"")</f>
        <v/>
      </c>
      <c r="J47" s="22" t="str">
        <f>IF('Personnel Yr 1'!$J$5&gt;2,IF(AND(OR(ISBLANK(I47),I47=""),ISBLANK('Personnel Yr 2'!J47)),"",'Personnel Yr 2'!J47),"")</f>
        <v/>
      </c>
      <c r="K47" s="22" t="str">
        <f>IF('Personnel Yr 1'!$J$5&gt;2,IF(AND(OR(ISBLANK(J47),J47=""),ISBLANK('Personnel Yr 2'!K47)),"",'Personnel Yr 2'!K47),"")</f>
        <v/>
      </c>
      <c r="L47" s="44" t="str">
        <f>IF('Personnel Yr 1'!$J$5&gt;2,IF(NOT(OR(ISBLANK(H47),H47="")),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1'!$J$5&gt;2,IF(OR(ISBLANK(L47),L47=""),"",ROUND(SUM(T47:V47),2)),"")</f>
        <v/>
      </c>
      <c r="N47" s="51" t="str">
        <f>IF('Personnel Yr 1'!$J$5&gt;2,IF(OR(ISBLANK(M47),M47=""),"",ROUND(SUM(L47:M47),2)),"")</f>
        <v/>
      </c>
      <c r="O47" s="159"/>
      <c r="P47" s="336">
        <f>IF('Personnel Yr 1'!$J$5&gt;2,IF(NOT(OR(ISBLANK(I47),I47="")),(H47/12)*I47,""),0)</f>
        <v>0</v>
      </c>
      <c r="Q47" s="337">
        <f>IF('Personnel Yr 1'!$J$5&gt;2,IF(NOT(OR(ISBLANK(J47),J47="")),(H47/8.5)*J47,""),0)</f>
        <v>0</v>
      </c>
      <c r="R47" s="336">
        <f>IF('Personnel Yr 1'!$J$5&gt;2,IF(NOT(OR(ISBLANK(K47),K47="")),(H47/8.5)*K47,""),0)</f>
        <v>0</v>
      </c>
      <c r="T47" s="336">
        <f t="shared" si="3"/>
        <v>0</v>
      </c>
      <c r="U47" s="336">
        <f t="shared" si="4"/>
        <v>0</v>
      </c>
      <c r="V47" s="336">
        <f t="shared" si="5"/>
        <v>0</v>
      </c>
      <c r="X47" s="336">
        <v>47</v>
      </c>
      <c r="Y47" s="336" t="b">
        <f>IF('Personnel Yr 1'!$J$5&gt;2,IF(OR($N$5&lt;&gt;"Federal - NIH",OR(AND(ISBLANK(I47),ISBLANK(J47),ISBLANK(K47)),AND(I47="",J47="",K47=""))),FALSE,IF(I47&gt;0,H47&gt;NIHSalaryCap,H47&gt;(NIHSalaryCap*8.5)/12)),FALSE)</f>
        <v>0</v>
      </c>
    </row>
    <row r="48" spans="1:25" x14ac:dyDescent="0.2">
      <c r="A48" s="5">
        <v>5</v>
      </c>
      <c r="B48" s="6" t="str">
        <f>IF('Personnel Yr 1'!$J$5&gt;2,IF(NOT(OR(ISBLANK('Personnel Yr 2'!B48),'Personnel Yr 2'!B48="")),'Personnel Yr 2'!B48,""),"")</f>
        <v/>
      </c>
      <c r="C48" s="22" t="str">
        <f>IF('Personnel Yr 1'!$J$5&gt;2,IF(ISBLANK('Personnel Yr 2'!C48),"",'Personnel Yr 2'!C48),"")</f>
        <v/>
      </c>
      <c r="D48" s="22" t="str">
        <f>IF('Personnel Yr 1'!$J$5&gt;2,IF(ISBLANK('Personnel Yr 2'!D48),"",'Personnel Yr 2'!D48),"")</f>
        <v/>
      </c>
      <c r="E48" s="22" t="str">
        <f>IF('Personnel Yr 1'!$J$5&gt;2,IF(ISBLANK('Personnel Yr 2'!E48),"",'Personnel Yr 2'!E48),"")</f>
        <v/>
      </c>
      <c r="F48" s="22" t="str">
        <f>IF('Personnel Yr 1'!$J$5&gt;2,IF(ISBLANK('Personnel Yr 2'!F48),"",'Personnel Yr 2'!F48),"")</f>
        <v/>
      </c>
      <c r="G48" s="22" t="str">
        <f>IF('Personnel Yr 1'!$J$5&gt;2,IF(ISBLANK('Personnel Yr 2'!G48),"",'Personnel Yr 2'!G48),"")</f>
        <v/>
      </c>
      <c r="H48" s="42" t="str">
        <f>IF('Personnel Yr 1'!$J$5&gt;2,IF(NOT(OR(ISBLANK('Personnel Yr 2'!H48),'Personnel Yr 2'!H48="")),(('Personnel Yr 2'!H48*'Personnel Yr 1'!$D$5)+'Personnel Yr 2'!H48),""),"")</f>
        <v/>
      </c>
      <c r="I48" s="22" t="str">
        <f>IF('Personnel Yr 1'!$J$5&gt;2,IF(AND(OR(ISBLANK(H48),H48=""),ISBLANK('Personnel Yr 2'!I48)),"",'Personnel Yr 2'!I48),"")</f>
        <v/>
      </c>
      <c r="J48" s="22" t="str">
        <f>IF('Personnel Yr 1'!$J$5&gt;2,IF(AND(OR(ISBLANK(I48),I48=""),ISBLANK('Personnel Yr 2'!J48)),"",'Personnel Yr 2'!J48),"")</f>
        <v/>
      </c>
      <c r="K48" s="22" t="str">
        <f>IF('Personnel Yr 1'!$J$5&gt;2,IF(AND(OR(ISBLANK(J48),J48=""),ISBLANK('Personnel Yr 2'!K48)),"",'Personnel Yr 2'!K48),"")</f>
        <v/>
      </c>
      <c r="L48" s="44" t="str">
        <f>IF('Personnel Yr 1'!$J$5&gt;2,IF(NOT(OR(ISBLANK(H48),H48="")),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1'!$J$5&gt;2,IF(OR(ISBLANK(L48),L48=""),"",ROUND(SUM(T48:V48),2)),"")</f>
        <v/>
      </c>
      <c r="N48" s="51" t="str">
        <f>IF('Personnel Yr 1'!$J$5&gt;2,IF(OR(ISBLANK(M48),M48=""),"",ROUND(SUM(L48:M48),2)),"")</f>
        <v/>
      </c>
      <c r="O48" s="159"/>
      <c r="P48" s="336">
        <f>IF('Personnel Yr 1'!$J$5&gt;2,IF(NOT(OR(ISBLANK(I48),I48="")),(H48/12)*I48,""),0)</f>
        <v>0</v>
      </c>
      <c r="Q48" s="337">
        <f>IF('Personnel Yr 1'!$J$5&gt;2,IF(NOT(OR(ISBLANK(J48),J48="")),(H48/8.5)*J48,""),0)</f>
        <v>0</v>
      </c>
      <c r="R48" s="336">
        <f>IF('Personnel Yr 1'!$J$5&gt;2,IF(NOT(OR(ISBLANK(K48),K48="")),(H48/8.5)*K48,""),0)</f>
        <v>0</v>
      </c>
      <c r="T48" s="336">
        <f t="shared" si="3"/>
        <v>0</v>
      </c>
      <c r="U48" s="336">
        <f t="shared" si="4"/>
        <v>0</v>
      </c>
      <c r="V48" s="336">
        <f t="shared" si="5"/>
        <v>0</v>
      </c>
      <c r="X48" s="336">
        <v>48</v>
      </c>
      <c r="Y48" s="336" t="b">
        <f>IF('Personnel Yr 1'!$J$5&gt;2,IF(OR($N$5&lt;&gt;"Federal - NIH",OR(AND(ISBLANK(I48),ISBLANK(J48),ISBLANK(K48)),AND(I48="",J48="",K48=""))),FALSE,IF(I48&gt;0,H48&gt;NIHSalaryCap,H48&gt;(NIHSalaryCap*8.5)/12)),FALSE)</f>
        <v>0</v>
      </c>
    </row>
    <row r="49" spans="1:25" x14ac:dyDescent="0.2">
      <c r="A49" s="5">
        <v>6</v>
      </c>
      <c r="B49" s="6" t="str">
        <f>IF('Personnel Yr 1'!$J$5&gt;2,IF(NOT(OR(ISBLANK('Personnel Yr 2'!B49),'Personnel Yr 2'!B49="")),'Personnel Yr 2'!B49,""),"")</f>
        <v/>
      </c>
      <c r="C49" s="22" t="str">
        <f>IF('Personnel Yr 1'!$J$5&gt;2,IF(ISBLANK('Personnel Yr 2'!C49),"",'Personnel Yr 2'!C49),"")</f>
        <v/>
      </c>
      <c r="D49" s="22" t="str">
        <f>IF('Personnel Yr 1'!$J$5&gt;2,IF(ISBLANK('Personnel Yr 2'!D49),"",'Personnel Yr 2'!D49),"")</f>
        <v/>
      </c>
      <c r="E49" s="22" t="str">
        <f>IF('Personnel Yr 1'!$J$5&gt;2,IF(ISBLANK('Personnel Yr 2'!E49),"",'Personnel Yr 2'!E49),"")</f>
        <v/>
      </c>
      <c r="F49" s="22" t="str">
        <f>IF('Personnel Yr 1'!$J$5&gt;2,IF(ISBLANK('Personnel Yr 2'!F49),"",'Personnel Yr 2'!F49),"")</f>
        <v/>
      </c>
      <c r="G49" s="22" t="str">
        <f>IF('Personnel Yr 1'!$J$5&gt;2,IF(ISBLANK('Personnel Yr 2'!G49),"",'Personnel Yr 2'!G49),"")</f>
        <v/>
      </c>
      <c r="H49" s="42" t="str">
        <f>IF('Personnel Yr 1'!$J$5&gt;2,IF(NOT(OR(ISBLANK('Personnel Yr 2'!H49),'Personnel Yr 2'!H49="")),(('Personnel Yr 2'!H49*'Personnel Yr 1'!$D$5)+'Personnel Yr 2'!H49),""),"")</f>
        <v/>
      </c>
      <c r="I49" s="22" t="str">
        <f>IF('Personnel Yr 1'!$J$5&gt;2,IF(AND(OR(ISBLANK(H49),H49=""),ISBLANK('Personnel Yr 2'!I49)),"",'Personnel Yr 2'!I49),"")</f>
        <v/>
      </c>
      <c r="J49" s="22" t="str">
        <f>IF('Personnel Yr 1'!$J$5&gt;2,IF(AND(OR(ISBLANK(I49),I49=""),ISBLANK('Personnel Yr 2'!J49)),"",'Personnel Yr 2'!J49),"")</f>
        <v/>
      </c>
      <c r="K49" s="22" t="str">
        <f>IF('Personnel Yr 1'!$J$5&gt;2,IF(AND(OR(ISBLANK(J49),J49=""),ISBLANK('Personnel Yr 2'!K49)),"",'Personnel Yr 2'!K49),"")</f>
        <v/>
      </c>
      <c r="L49" s="44" t="str">
        <f>IF('Personnel Yr 1'!$J$5&gt;2,IF(NOT(OR(ISBLANK(H49),H49="")),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1'!$J$5&gt;2,IF(OR(ISBLANK(L49),L49=""),"",ROUND(SUM(T49:V49),2)),"")</f>
        <v/>
      </c>
      <c r="N49" s="51" t="str">
        <f>IF('Personnel Yr 1'!$J$5&gt;2,IF(OR(ISBLANK(M49),M49=""),"",ROUND(SUM(L49:M49),2)),"")</f>
        <v/>
      </c>
      <c r="O49" s="157"/>
      <c r="P49" s="336">
        <f>IF('Personnel Yr 1'!$J$5&gt;2,IF(NOT(OR(ISBLANK(I49),I49="")),(H49/12)*I49,""),0)</f>
        <v>0</v>
      </c>
      <c r="Q49" s="337">
        <f>IF('Personnel Yr 1'!$J$5&gt;2,IF(NOT(OR(ISBLANK(J49),J49="")),(H49/8.5)*J49,""),0)</f>
        <v>0</v>
      </c>
      <c r="R49" s="336">
        <f>IF('Personnel Yr 1'!$J$5&gt;2,IF(NOT(OR(ISBLANK(K49),K49="")),(H49/8.5)*K49,""),0)</f>
        <v>0</v>
      </c>
      <c r="T49" s="336">
        <f t="shared" si="3"/>
        <v>0</v>
      </c>
      <c r="U49" s="336">
        <f t="shared" si="4"/>
        <v>0</v>
      </c>
      <c r="V49" s="336">
        <f t="shared" si="5"/>
        <v>0</v>
      </c>
      <c r="X49" s="336">
        <v>49</v>
      </c>
      <c r="Y49" s="336" t="b">
        <f>IF('Personnel Yr 1'!$J$5&gt;2,IF(OR($N$5&lt;&gt;"Federal - NIH",OR(AND(ISBLANK(I49),ISBLANK(J49),ISBLANK(K49)),AND(I49="",J49="",K49=""))),FALSE,IF(I49&gt;0,H49&gt;NIHSalaryCap,H49&gt;(NIHSalaryCap*8.5)/12)),FALSE)</f>
        <v>0</v>
      </c>
    </row>
    <row r="50" spans="1:25" x14ac:dyDescent="0.2">
      <c r="A50" s="5">
        <v>7</v>
      </c>
      <c r="B50" s="6" t="str">
        <f>IF('Personnel Yr 1'!$J$5&gt;2,IF(NOT(OR(ISBLANK('Personnel Yr 2'!B50),'Personnel Yr 2'!B50="")),'Personnel Yr 2'!B50,""),"")</f>
        <v/>
      </c>
      <c r="C50" s="22" t="str">
        <f>IF('Personnel Yr 1'!$J$5&gt;2,IF(ISBLANK('Personnel Yr 2'!C50),"",'Personnel Yr 2'!C50),"")</f>
        <v/>
      </c>
      <c r="D50" s="22" t="str">
        <f>IF('Personnel Yr 1'!$J$5&gt;2,IF(ISBLANK('Personnel Yr 2'!D50),"",'Personnel Yr 2'!D50),"")</f>
        <v/>
      </c>
      <c r="E50" s="22" t="str">
        <f>IF('Personnel Yr 1'!$J$5&gt;2,IF(ISBLANK('Personnel Yr 2'!E50),"",'Personnel Yr 2'!E50),"")</f>
        <v/>
      </c>
      <c r="F50" s="22" t="str">
        <f>IF('Personnel Yr 1'!$J$5&gt;2,IF(ISBLANK('Personnel Yr 2'!F50),"",'Personnel Yr 2'!F50),"")</f>
        <v/>
      </c>
      <c r="G50" s="22" t="str">
        <f>IF('Personnel Yr 1'!$J$5&gt;2,IF(ISBLANK('Personnel Yr 2'!G50),"",'Personnel Yr 2'!G50),"")</f>
        <v/>
      </c>
      <c r="H50" s="42" t="str">
        <f>IF('Personnel Yr 1'!$J$5&gt;2,IF(NOT(OR(ISBLANK('Personnel Yr 2'!H50),'Personnel Yr 2'!H50="")),(('Personnel Yr 2'!H50*'Personnel Yr 1'!$D$5)+'Personnel Yr 2'!H50),""),"")</f>
        <v/>
      </c>
      <c r="I50" s="22" t="str">
        <f>IF('Personnel Yr 1'!$J$5&gt;2,IF(AND(OR(ISBLANK(H50),H50=""),ISBLANK('Personnel Yr 2'!I50)),"",'Personnel Yr 2'!I50),"")</f>
        <v/>
      </c>
      <c r="J50" s="22" t="str">
        <f>IF('Personnel Yr 1'!$J$5&gt;2,IF(AND(OR(ISBLANK(I50),I50=""),ISBLANK('Personnel Yr 2'!J50)),"",'Personnel Yr 2'!J50),"")</f>
        <v/>
      </c>
      <c r="K50" s="22" t="str">
        <f>IF('Personnel Yr 1'!$J$5&gt;2,IF(AND(OR(ISBLANK(J50),J50=""),ISBLANK('Personnel Yr 2'!K50)),"",'Personnel Yr 2'!K50),"")</f>
        <v/>
      </c>
      <c r="L50" s="44" t="str">
        <f>IF('Personnel Yr 1'!$J$5&gt;2,IF(NOT(OR(ISBLANK(H50),H50="")),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1'!$J$5&gt;2,IF(OR(ISBLANK(L50),L50=""),"",ROUND(SUM(T50:V50),2)),"")</f>
        <v/>
      </c>
      <c r="N50" s="51" t="str">
        <f>IF('Personnel Yr 1'!$J$5&gt;2,IF(OR(ISBLANK(M50),M50=""),"",ROUND(SUM(L50:M50),2)),"")</f>
        <v/>
      </c>
      <c r="O50" s="159"/>
      <c r="P50" s="336">
        <f>IF('Personnel Yr 1'!$J$5&gt;2,IF(NOT(OR(ISBLANK(I50),I50="")),(H50/12)*I50,""),0)</f>
        <v>0</v>
      </c>
      <c r="Q50" s="337">
        <f>IF('Personnel Yr 1'!$J$5&gt;2,IF(NOT(OR(ISBLANK(J50),J50="")),(H50/8.5)*J50,""),0)</f>
        <v>0</v>
      </c>
      <c r="R50" s="336">
        <f>IF('Personnel Yr 1'!$J$5&gt;2,IF(NOT(OR(ISBLANK(K50),K50="")),(H50/8.5)*K50,""),0)</f>
        <v>0</v>
      </c>
      <c r="T50" s="336">
        <f t="shared" si="3"/>
        <v>0</v>
      </c>
      <c r="U50" s="336">
        <f t="shared" si="4"/>
        <v>0</v>
      </c>
      <c r="V50" s="336">
        <f t="shared" si="5"/>
        <v>0</v>
      </c>
      <c r="X50" s="336">
        <v>50</v>
      </c>
      <c r="Y50" s="336" t="b">
        <f>IF('Personnel Yr 1'!$J$5&gt;2,IF(OR($N$5&lt;&gt;"Federal - NIH",OR(AND(ISBLANK(I50),ISBLANK(J50),ISBLANK(K50)),AND(I50="",J50="",K50=""))),FALSE,IF(I50&gt;0,H50&gt;NIHSalaryCap,H50&gt;(NIHSalaryCap*8.5)/12)),FALSE)</f>
        <v>0</v>
      </c>
    </row>
    <row r="51" spans="1:25" x14ac:dyDescent="0.2">
      <c r="A51" s="5">
        <v>8</v>
      </c>
      <c r="B51" s="75" t="str">
        <f>IF('Personnel Yr 1'!$J$5&gt;2,IF(NOT(OR(ISBLANK('Personnel Yr 2'!B51),'Personnel Yr 2'!B51="")),'Personnel Yr 2'!B51,""),"")</f>
        <v/>
      </c>
      <c r="C51" s="69" t="str">
        <f>IF('Personnel Yr 1'!$J$5&gt;2,IF(ISBLANK('Personnel Yr 2'!C51),"",'Personnel Yr 2'!C51),"")</f>
        <v/>
      </c>
      <c r="D51" s="69" t="str">
        <f>IF('Personnel Yr 1'!$J$5&gt;2,IF(ISBLANK('Personnel Yr 2'!D51),"",'Personnel Yr 2'!D51),"")</f>
        <v/>
      </c>
      <c r="E51" s="69" t="str">
        <f>IF('Personnel Yr 1'!$J$5&gt;2,IF(ISBLANK('Personnel Yr 2'!E51),"",'Personnel Yr 2'!E51),"")</f>
        <v/>
      </c>
      <c r="F51" s="69" t="str">
        <f>IF('Personnel Yr 1'!$J$5&gt;2,IF(ISBLANK('Personnel Yr 2'!F51),"",'Personnel Yr 2'!F51),"")</f>
        <v/>
      </c>
      <c r="G51" s="69" t="str">
        <f>IF('Personnel Yr 1'!$J$5&gt;2,IF(ISBLANK('Personnel Yr 2'!G51),"",'Personnel Yr 2'!G51),"")</f>
        <v/>
      </c>
      <c r="H51" s="42" t="str">
        <f>IF('Personnel Yr 1'!$J$5&gt;2,IF(NOT(OR(ISBLANK('Personnel Yr 2'!H51),'Personnel Yr 2'!H51="")),(('Personnel Yr 2'!H51*'Personnel Yr 1'!$D$5)+'Personnel Yr 2'!H51),""),"")</f>
        <v/>
      </c>
      <c r="I51" s="22" t="str">
        <f>IF('Personnel Yr 1'!$J$5&gt;2,IF(AND(OR(ISBLANK(H51),H51=""),ISBLANK('Personnel Yr 2'!I51)),"",'Personnel Yr 2'!I51),"")</f>
        <v/>
      </c>
      <c r="J51" s="22" t="str">
        <f>IF('Personnel Yr 1'!$J$5&gt;2,IF(AND(OR(ISBLANK(I51),I51=""),ISBLANK('Personnel Yr 2'!J51)),"",'Personnel Yr 2'!J51),"")</f>
        <v/>
      </c>
      <c r="K51" s="22" t="str">
        <f>IF('Personnel Yr 1'!$J$5&gt;2,IF(AND(OR(ISBLANK(J51),J51=""),ISBLANK('Personnel Yr 2'!K51)),"",'Personnel Yr 2'!K51),"")</f>
        <v/>
      </c>
      <c r="L51" s="44" t="str">
        <f>IF('Personnel Yr 1'!$J$5&gt;2,IF(NOT(OR(ISBLANK(H51),H51="")),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1'!$J$5&gt;2,IF(OR(ISBLANK(L51),L51=""),"",ROUND(SUM(T51:V51),2)),"")</f>
        <v/>
      </c>
      <c r="N51" s="50" t="str">
        <f>IF('Personnel Yr 1'!$J$5&gt;2,IF(OR(ISBLANK(M51),M51=""),"",ROUND(SUM(L51:M51),2)),"")</f>
        <v/>
      </c>
      <c r="O51" s="182"/>
      <c r="P51" s="336">
        <f>IF('Personnel Yr 1'!$J$5&gt;2,IF(NOT(OR(ISBLANK(I51),I51="")),(H51/12)*I51,""),0)</f>
        <v>0</v>
      </c>
      <c r="Q51" s="337">
        <f>IF('Personnel Yr 1'!$J$5&gt;2,IF(NOT(OR(ISBLANK(J51),J51="")),(H51/8.5)*J51,""),0)</f>
        <v>0</v>
      </c>
      <c r="R51" s="336">
        <f>IF('Personnel Yr 1'!$J$5&gt;2,IF(NOT(OR(ISBLANK(K51),K51="")),(H51/8.5)*K51,""),0)</f>
        <v>0</v>
      </c>
      <c r="T51" s="336">
        <f t="shared" si="3"/>
        <v>0</v>
      </c>
      <c r="U51" s="336">
        <f t="shared" si="4"/>
        <v>0</v>
      </c>
      <c r="V51" s="336">
        <f t="shared" si="5"/>
        <v>0</v>
      </c>
      <c r="X51" s="336">
        <v>51</v>
      </c>
      <c r="Y51" s="336" t="b">
        <f>IF('Personnel Yr 1'!$J$5&gt;2,IF(OR($N$5&lt;&gt;"Federal - NIH",OR(AND(ISBLANK(I51),ISBLANK(J51),ISBLANK(K51)),AND(I51="",J51="",K51=""))),FALSE,IF(I51&gt;0,H51&gt;NIHSalaryCap,H51&gt;(NIHSalaryCap*8.5)/12)),FALSE)</f>
        <v>0</v>
      </c>
    </row>
    <row r="52" spans="1:25" x14ac:dyDescent="0.2">
      <c r="A52" s="5">
        <v>9</v>
      </c>
      <c r="B52" s="6" t="str">
        <f>IF('Personnel Yr 1'!$J$5&gt;2,IF(NOT(OR(ISBLANK('Personnel Yr 2'!B52),'Personnel Yr 2'!B52="")),'Personnel Yr 2'!B52,""),"")</f>
        <v/>
      </c>
      <c r="C52" s="22" t="str">
        <f>IF('Personnel Yr 1'!$J$5&gt;2,IF(ISBLANK('Personnel Yr 2'!C52),"",'Personnel Yr 2'!C52),"")</f>
        <v/>
      </c>
      <c r="D52" s="22" t="str">
        <f>IF('Personnel Yr 1'!$J$5&gt;2,IF(ISBLANK('Personnel Yr 2'!D52),"",'Personnel Yr 2'!D52),"")</f>
        <v/>
      </c>
      <c r="E52" s="22" t="str">
        <f>IF('Personnel Yr 1'!$J$5&gt;2,IF(ISBLANK('Personnel Yr 2'!E52),"",'Personnel Yr 2'!E52),"")</f>
        <v/>
      </c>
      <c r="F52" s="22" t="str">
        <f>IF('Personnel Yr 1'!$J$5&gt;2,IF(ISBLANK('Personnel Yr 2'!F52),"",'Personnel Yr 2'!F52),"")</f>
        <v/>
      </c>
      <c r="G52" s="71" t="str">
        <f>IF('Personnel Yr 1'!$J$5&gt;2,IF(ISBLANK('Personnel Yr 2'!G52),"",'Personnel Yr 2'!G52),"")</f>
        <v/>
      </c>
      <c r="H52" s="42" t="str">
        <f>IF('Personnel Yr 1'!$J$5&gt;2,IF(NOT(OR(ISBLANK('Personnel Yr 2'!H52),'Personnel Yr 2'!H52="")),(('Personnel Yr 2'!H52*'Personnel Yr 1'!$D$5)+'Personnel Yr 2'!H52),""),"")</f>
        <v/>
      </c>
      <c r="I52" s="22" t="str">
        <f>IF('Personnel Yr 1'!$J$5&gt;2,IF(AND(OR(ISBLANK(H52),H52=""),ISBLANK('Personnel Yr 2'!I52)),"",'Personnel Yr 2'!I52),"")</f>
        <v/>
      </c>
      <c r="J52" s="22" t="str">
        <f>IF('Personnel Yr 1'!$J$5&gt;2,IF(AND(OR(ISBLANK(I52),I52=""),ISBLANK('Personnel Yr 2'!J52)),"",'Personnel Yr 2'!J52),"")</f>
        <v/>
      </c>
      <c r="K52" s="22" t="str">
        <f>IF('Personnel Yr 1'!$J$5&gt;2,IF(AND(OR(ISBLANK(J52),J52=""),ISBLANK('Personnel Yr 2'!K52)),"",'Personnel Yr 2'!K52),"")</f>
        <v/>
      </c>
      <c r="L52" s="44" t="str">
        <f>IF('Personnel Yr 1'!$J$5&gt;2,IF(NOT(OR(ISBLANK(H52),H52="")),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1'!$J$5&gt;2,IF(OR(ISBLANK(L52),L52=""),"",ROUND(SUM(T52:V52),2)),"")</f>
        <v/>
      </c>
      <c r="N52" s="51" t="str">
        <f>IF('Personnel Yr 1'!$J$5&gt;2,IF(OR(ISBLANK(M52),M52=""),"",ROUND(SUM(L52:M52),2)),"")</f>
        <v/>
      </c>
      <c r="O52" s="159"/>
      <c r="P52" s="336">
        <f>IF('Personnel Yr 1'!$J$5&gt;2,IF(NOT(OR(ISBLANK(I52),I52="")),(H52/12)*I52,""),0)</f>
        <v>0</v>
      </c>
      <c r="Q52" s="337">
        <f>IF('Personnel Yr 1'!$J$5&gt;2,IF(NOT(OR(ISBLANK(J52),J52="")),(H52/8.5)*J52,""),0)</f>
        <v>0</v>
      </c>
      <c r="R52" s="336">
        <f>IF('Personnel Yr 1'!$J$5&gt;2,IF(NOT(OR(ISBLANK(K52),K52="")),(H52/8.5)*K52,""),0)</f>
        <v>0</v>
      </c>
      <c r="T52" s="336">
        <f t="shared" si="3"/>
        <v>0</v>
      </c>
      <c r="U52" s="336">
        <f t="shared" si="4"/>
        <v>0</v>
      </c>
      <c r="V52" s="336">
        <f t="shared" si="5"/>
        <v>0</v>
      </c>
      <c r="X52" s="336">
        <v>52</v>
      </c>
      <c r="Y52" s="336" t="b">
        <f>IF('Personnel Yr 1'!$J$5&gt;2,IF(OR($N$5&lt;&gt;"Federal - NIH",OR(AND(ISBLANK(I52),ISBLANK(J52),ISBLANK(K52)),AND(I52="",J52="",K52=""))),FALSE,IF(I52&gt;0,H52&gt;NIHSalaryCap,H52&gt;(NIHSalaryCap*8.5)/12)),FALSE)</f>
        <v>0</v>
      </c>
    </row>
    <row r="53" spans="1:25" x14ac:dyDescent="0.2">
      <c r="A53" s="5">
        <v>10</v>
      </c>
      <c r="B53" s="6" t="str">
        <f>IF('Personnel Yr 1'!$J$5&gt;2,IF(NOT(OR(ISBLANK('Personnel Yr 2'!B53),'Personnel Yr 2'!B53="")),'Personnel Yr 2'!B53,""),"")</f>
        <v/>
      </c>
      <c r="C53" s="22" t="str">
        <f>IF('Personnel Yr 1'!$J$5&gt;2,IF(ISBLANK('Personnel Yr 2'!C53),"",'Personnel Yr 2'!C53),"")</f>
        <v/>
      </c>
      <c r="D53" s="22" t="str">
        <f>IF('Personnel Yr 1'!$J$5&gt;2,IF(ISBLANK('Personnel Yr 2'!D53),"",'Personnel Yr 2'!D53),"")</f>
        <v/>
      </c>
      <c r="E53" s="22" t="str">
        <f>IF('Personnel Yr 1'!$J$5&gt;2,IF(ISBLANK('Personnel Yr 2'!E53),"",'Personnel Yr 2'!E53),"")</f>
        <v/>
      </c>
      <c r="F53" s="22" t="str">
        <f>IF('Personnel Yr 1'!$J$5&gt;2,IF(ISBLANK('Personnel Yr 2'!F53),"",'Personnel Yr 2'!F53),"")</f>
        <v/>
      </c>
      <c r="G53" s="22" t="str">
        <f>IF('Personnel Yr 1'!$J$5&gt;2,IF(ISBLANK('Personnel Yr 2'!G53),"",'Personnel Yr 2'!G53),"")</f>
        <v/>
      </c>
      <c r="H53" s="42" t="str">
        <f>IF('Personnel Yr 1'!$J$5&gt;2,IF(NOT(OR(ISBLANK('Personnel Yr 2'!H53),'Personnel Yr 2'!H53="")),(('Personnel Yr 2'!H53*'Personnel Yr 1'!$D$5)+'Personnel Yr 2'!H53),""),"")</f>
        <v/>
      </c>
      <c r="I53" s="22" t="str">
        <f>IF('Personnel Yr 1'!$J$5&gt;2,IF(AND(OR(ISBLANK(H53),H53=""),ISBLANK('Personnel Yr 2'!I53)),"",'Personnel Yr 2'!I53),"")</f>
        <v/>
      </c>
      <c r="J53" s="22" t="str">
        <f>IF('Personnel Yr 1'!$J$5&gt;2,IF(AND(OR(ISBLANK(I53),I53=""),ISBLANK('Personnel Yr 2'!J53)),"",'Personnel Yr 2'!J53),"")</f>
        <v/>
      </c>
      <c r="K53" s="22" t="str">
        <f>IF('Personnel Yr 1'!$J$5&gt;2,IF(AND(OR(ISBLANK(J53),J53=""),ISBLANK('Personnel Yr 2'!K53)),"",'Personnel Yr 2'!K53),"")</f>
        <v/>
      </c>
      <c r="L53" s="44" t="str">
        <f>IF('Personnel Yr 1'!$J$5&gt;2,IF(NOT(OR(ISBLANK(H53),H53="")),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1'!$J$5&gt;2,IF(OR(ISBLANK(L53),L53=""),"",ROUND(SUM(T53:V53),2)),"")</f>
        <v/>
      </c>
      <c r="N53" s="51" t="str">
        <f>IF('Personnel Yr 1'!$J$5&gt;2,IF(OR(ISBLANK(M53),M53=""),"",ROUND(SUM(L53:M53),2)),"")</f>
        <v/>
      </c>
      <c r="O53" s="159"/>
      <c r="P53" s="336">
        <f>IF('Personnel Yr 1'!$J$5&gt;2,IF(NOT(OR(ISBLANK(I53),I53="")),(H53/12)*I53,""),0)</f>
        <v>0</v>
      </c>
      <c r="Q53" s="337">
        <f>IF('Personnel Yr 1'!$J$5&gt;2,IF(NOT(OR(ISBLANK(J53),J53="")),(H53/8.5)*J53,""),0)</f>
        <v>0</v>
      </c>
      <c r="R53" s="336">
        <f>IF('Personnel Yr 1'!$J$5&gt;2,IF(NOT(OR(ISBLANK(K53),K53="")),(H53/8.5)*K53,""),0)</f>
        <v>0</v>
      </c>
      <c r="T53" s="336">
        <f t="shared" si="3"/>
        <v>0</v>
      </c>
      <c r="U53" s="336">
        <f t="shared" si="4"/>
        <v>0</v>
      </c>
      <c r="V53" s="336">
        <f t="shared" si="5"/>
        <v>0</v>
      </c>
      <c r="X53" s="336">
        <v>53</v>
      </c>
      <c r="Y53" s="336" t="b">
        <f>IF('Personnel Yr 1'!$J$5&gt;2,IF(OR($N$5&lt;&gt;"Federal - NIH",OR(AND(ISBLANK(I53),ISBLANK(J53),ISBLANK(K53)),AND(I53="",J53="",K53=""))),FALSE,IF(I53&gt;0,H53&gt;NIHSalaryCap,H53&gt;(NIHSalaryCap*8.5)/12)),FALSE)</f>
        <v>0</v>
      </c>
    </row>
    <row r="54" spans="1:25" x14ac:dyDescent="0.2">
      <c r="A54" s="5">
        <v>11</v>
      </c>
      <c r="B54" s="6" t="str">
        <f>IF('Personnel Yr 1'!$J$5&gt;2,IF(NOT(OR(ISBLANK('Personnel Yr 2'!B54),'Personnel Yr 2'!B54="")),'Personnel Yr 2'!B54,""),"")</f>
        <v/>
      </c>
      <c r="C54" s="22" t="str">
        <f>IF('Personnel Yr 1'!$J$5&gt;2,IF(ISBLANK('Personnel Yr 2'!C54),"",'Personnel Yr 2'!C54),"")</f>
        <v/>
      </c>
      <c r="D54" s="22" t="str">
        <f>IF('Personnel Yr 1'!$J$5&gt;2,IF(ISBLANK('Personnel Yr 2'!D54),"",'Personnel Yr 2'!D54),"")</f>
        <v/>
      </c>
      <c r="E54" s="22" t="str">
        <f>IF('Personnel Yr 1'!$J$5&gt;2,IF(ISBLANK('Personnel Yr 2'!E54),"",'Personnel Yr 2'!E54),"")</f>
        <v/>
      </c>
      <c r="F54" s="22" t="str">
        <f>IF('Personnel Yr 1'!$J$5&gt;2,IF(ISBLANK('Personnel Yr 2'!F54),"",'Personnel Yr 2'!F54),"")</f>
        <v/>
      </c>
      <c r="G54" s="22" t="str">
        <f>IF('Personnel Yr 1'!$J$5&gt;2,IF(ISBLANK('Personnel Yr 2'!G54),"",'Personnel Yr 2'!G54),"")</f>
        <v/>
      </c>
      <c r="H54" s="42" t="str">
        <f>IF('Personnel Yr 1'!$J$5&gt;2,IF(NOT(OR(ISBLANK('Personnel Yr 2'!H54),'Personnel Yr 2'!H54="")),(('Personnel Yr 2'!H54*'Personnel Yr 1'!$D$5)+'Personnel Yr 2'!H54),""),"")</f>
        <v/>
      </c>
      <c r="I54" s="22" t="str">
        <f>IF('Personnel Yr 1'!$J$5&gt;2,IF(AND(OR(ISBLANK(H54),H54=""),ISBLANK('Personnel Yr 2'!I54)),"",'Personnel Yr 2'!I54),"")</f>
        <v/>
      </c>
      <c r="J54" s="22" t="str">
        <f>IF('Personnel Yr 1'!$J$5&gt;2,IF(AND(OR(ISBLANK(I54),I54=""),ISBLANK('Personnel Yr 2'!J54)),"",'Personnel Yr 2'!J54),"")</f>
        <v/>
      </c>
      <c r="K54" s="22" t="str">
        <f>IF('Personnel Yr 1'!$J$5&gt;2,IF(AND(OR(ISBLANK(J54),J54=""),ISBLANK('Personnel Yr 2'!K54)),"",'Personnel Yr 2'!K54),"")</f>
        <v/>
      </c>
      <c r="L54" s="44" t="str">
        <f>IF('Personnel Yr 1'!$J$5&gt;2,IF(NOT(OR(ISBLANK(H54),H54="")),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1'!$J$5&gt;2,IF(OR(ISBLANK(L54),L54=""),"",ROUND(SUM(T54:V54),2)),"")</f>
        <v/>
      </c>
      <c r="N54" s="51" t="str">
        <f>IF('Personnel Yr 1'!$J$5&gt;2,IF(OR(ISBLANK(M54),M54=""),"",ROUND(SUM(L54:M54),2)),"")</f>
        <v/>
      </c>
      <c r="O54" s="157"/>
      <c r="P54" s="336">
        <f>IF('Personnel Yr 1'!$J$5&gt;2,IF(NOT(OR(ISBLANK(I54),I54="")),(H54/12)*I54,""),0)</f>
        <v>0</v>
      </c>
      <c r="Q54" s="337">
        <f>IF('Personnel Yr 1'!$J$5&gt;2,IF(NOT(OR(ISBLANK(J54),J54="")),(H54/8.5)*J54,""),0)</f>
        <v>0</v>
      </c>
      <c r="R54" s="336">
        <f>IF('Personnel Yr 1'!$J$5&gt;2,IF(NOT(OR(ISBLANK(K54),K54="")),(H54/8.5)*K54,""),0)</f>
        <v>0</v>
      </c>
      <c r="T54" s="336">
        <f t="shared" si="3"/>
        <v>0</v>
      </c>
      <c r="U54" s="336">
        <f t="shared" si="4"/>
        <v>0</v>
      </c>
      <c r="V54" s="336">
        <f t="shared" si="5"/>
        <v>0</v>
      </c>
      <c r="X54" s="336">
        <v>54</v>
      </c>
      <c r="Y54" s="336" t="b">
        <f>IF('Personnel Yr 1'!$J$5&gt;2,IF(OR($N$5&lt;&gt;"Federal - NIH",OR(AND(ISBLANK(I54),ISBLANK(J54),ISBLANK(K54)),AND(I54="",J54="",K54=""))),FALSE,IF(I54&gt;0,H54&gt;NIHSalaryCap,H54&gt;(NIHSalaryCap*8.5)/12)),FALSE)</f>
        <v>0</v>
      </c>
    </row>
    <row r="55" spans="1:25" x14ac:dyDescent="0.2">
      <c r="A55" s="5">
        <v>12</v>
      </c>
      <c r="B55" s="6" t="str">
        <f>IF('Personnel Yr 1'!$J$5&gt;2,IF(NOT(OR(ISBLANK('Personnel Yr 2'!B55),'Personnel Yr 2'!B55="")),'Personnel Yr 2'!B55,""),"")</f>
        <v/>
      </c>
      <c r="C55" s="22" t="str">
        <f>IF('Personnel Yr 1'!$J$5&gt;2,IF(ISBLANK('Personnel Yr 2'!C55),"",'Personnel Yr 2'!C55),"")</f>
        <v/>
      </c>
      <c r="D55" s="22" t="str">
        <f>IF('Personnel Yr 1'!$J$5&gt;2,IF(ISBLANK('Personnel Yr 2'!D55),"",'Personnel Yr 2'!D55),"")</f>
        <v/>
      </c>
      <c r="E55" s="22" t="str">
        <f>IF('Personnel Yr 1'!$J$5&gt;2,IF(ISBLANK('Personnel Yr 2'!E55),"",'Personnel Yr 2'!E55),"")</f>
        <v/>
      </c>
      <c r="F55" s="22" t="str">
        <f>IF('Personnel Yr 1'!$J$5&gt;2,IF(ISBLANK('Personnel Yr 2'!F55),"",'Personnel Yr 2'!F55),"")</f>
        <v/>
      </c>
      <c r="G55" s="22" t="str">
        <f>IF('Personnel Yr 1'!$J$5&gt;2,IF(ISBLANK('Personnel Yr 2'!G55),"",'Personnel Yr 2'!G55),"")</f>
        <v/>
      </c>
      <c r="H55" s="42" t="str">
        <f>IF('Personnel Yr 1'!$J$5&gt;2,IF(NOT(OR(ISBLANK('Personnel Yr 2'!H55),'Personnel Yr 2'!H55="")),(('Personnel Yr 2'!H55*'Personnel Yr 1'!$D$5)+'Personnel Yr 2'!H55),""),"")</f>
        <v/>
      </c>
      <c r="I55" s="22" t="str">
        <f>IF('Personnel Yr 1'!$J$5&gt;2,IF(AND(OR(ISBLANK(H55),H55=""),ISBLANK('Personnel Yr 2'!I55)),"",'Personnel Yr 2'!I55),"")</f>
        <v/>
      </c>
      <c r="J55" s="22" t="str">
        <f>IF('Personnel Yr 1'!$J$5&gt;2,IF(AND(OR(ISBLANK(I55),I55=""),ISBLANK('Personnel Yr 2'!J55)),"",'Personnel Yr 2'!J55),"")</f>
        <v/>
      </c>
      <c r="K55" s="22" t="str">
        <f>IF('Personnel Yr 1'!$J$5&gt;2,IF(AND(OR(ISBLANK(J55),J55=""),ISBLANK('Personnel Yr 2'!K55)),"",'Personnel Yr 2'!K55),"")</f>
        <v/>
      </c>
      <c r="L55" s="44" t="str">
        <f>IF('Personnel Yr 1'!$J$5&gt;2,IF(NOT(OR(ISBLANK(H55),H55="")),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1'!$J$5&gt;2,IF(OR(ISBLANK(L55),L55=""),"",ROUND(SUM(T55:V55),2)),"")</f>
        <v/>
      </c>
      <c r="N55" s="51" t="str">
        <f>IF('Personnel Yr 1'!$J$5&gt;2,IF(OR(ISBLANK(M55),M55=""),"",ROUND(SUM(L55:M55),2)),"")</f>
        <v/>
      </c>
      <c r="O55" s="159"/>
      <c r="P55" s="336">
        <f>IF('Personnel Yr 1'!$J$5&gt;2,IF(NOT(OR(ISBLANK(I55),I55="")),(H55/12)*I55,""),0)</f>
        <v>0</v>
      </c>
      <c r="Q55" s="337">
        <f>IF('Personnel Yr 1'!$J$5&gt;2,IF(NOT(OR(ISBLANK(J55),J55="")),(H55/8.5)*J55,""),0)</f>
        <v>0</v>
      </c>
      <c r="R55" s="336">
        <f>IF('Personnel Yr 1'!$J$5&gt;2,IF(NOT(OR(ISBLANK(K55),K55="")),(H55/8.5)*K55,""),0)</f>
        <v>0</v>
      </c>
      <c r="T55" s="336">
        <f t="shared" si="3"/>
        <v>0</v>
      </c>
      <c r="U55" s="336">
        <f t="shared" si="4"/>
        <v>0</v>
      </c>
      <c r="V55" s="336">
        <f t="shared" si="5"/>
        <v>0</v>
      </c>
      <c r="X55" s="336">
        <v>55</v>
      </c>
      <c r="Y55" s="336" t="b">
        <f>IF('Personnel Yr 1'!$J$5&gt;2,IF(OR($N$5&lt;&gt;"Federal - NIH",OR(AND(ISBLANK(I55),ISBLANK(J55),ISBLANK(K55)),AND(I55="",J55="",K55=""))),FALSE,IF(I55&gt;0,H55&gt;NIHSalaryCap,H55&gt;(NIHSalaryCap*8.5)/12)),FALSE)</f>
        <v>0</v>
      </c>
    </row>
    <row r="56" spans="1:25" x14ac:dyDescent="0.2">
      <c r="A56" s="5">
        <v>13</v>
      </c>
      <c r="B56" s="75" t="str">
        <f>IF('Personnel Yr 1'!$J$5&gt;2,IF(NOT(OR(ISBLANK('Personnel Yr 2'!B56),'Personnel Yr 2'!B56="")),'Personnel Yr 2'!B56,""),"")</f>
        <v/>
      </c>
      <c r="C56" s="69" t="str">
        <f>IF('Personnel Yr 1'!$J$5&gt;2,IF(ISBLANK('Personnel Yr 2'!C56),"",'Personnel Yr 2'!C56),"")</f>
        <v/>
      </c>
      <c r="D56" s="69" t="str">
        <f>IF('Personnel Yr 1'!$J$5&gt;2,IF(ISBLANK('Personnel Yr 2'!D56),"",'Personnel Yr 2'!D56),"")</f>
        <v/>
      </c>
      <c r="E56" s="69" t="str">
        <f>IF('Personnel Yr 1'!$J$5&gt;2,IF(ISBLANK('Personnel Yr 2'!E56),"",'Personnel Yr 2'!E56),"")</f>
        <v/>
      </c>
      <c r="F56" s="69" t="str">
        <f>IF('Personnel Yr 1'!$J$5&gt;2,IF(ISBLANK('Personnel Yr 2'!F56),"",'Personnel Yr 2'!F56),"")</f>
        <v/>
      </c>
      <c r="G56" s="69" t="str">
        <f>IF('Personnel Yr 1'!$J$5&gt;2,IF(ISBLANK('Personnel Yr 2'!G56),"",'Personnel Yr 2'!G56),"")</f>
        <v/>
      </c>
      <c r="H56" s="42" t="str">
        <f>IF('Personnel Yr 1'!$J$5&gt;2,IF(NOT(OR(ISBLANK('Personnel Yr 2'!H56),'Personnel Yr 2'!H56="")),(('Personnel Yr 2'!H56*'Personnel Yr 1'!$D$5)+'Personnel Yr 2'!H56),""),"")</f>
        <v/>
      </c>
      <c r="I56" s="22" t="str">
        <f>IF('Personnel Yr 1'!$J$5&gt;2,IF(AND(OR(ISBLANK(H56),H56=""),ISBLANK('Personnel Yr 2'!I56)),"",'Personnel Yr 2'!I56),"")</f>
        <v/>
      </c>
      <c r="J56" s="22" t="str">
        <f>IF('Personnel Yr 1'!$J$5&gt;2,IF(AND(OR(ISBLANK(I56),I56=""),ISBLANK('Personnel Yr 2'!J56)),"",'Personnel Yr 2'!J56),"")</f>
        <v/>
      </c>
      <c r="K56" s="22" t="str">
        <f>IF('Personnel Yr 1'!$J$5&gt;2,IF(AND(OR(ISBLANK(J56),J56=""),ISBLANK('Personnel Yr 2'!K56)),"",'Personnel Yr 2'!K56),"")</f>
        <v/>
      </c>
      <c r="L56" s="44" t="str">
        <f>IF('Personnel Yr 1'!$J$5&gt;2,IF(NOT(OR(ISBLANK(H56),H56="")),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1'!$J$5&gt;2,IF(OR(ISBLANK(L56),L56=""),"",ROUND(SUM(T56:V56),2)),"")</f>
        <v/>
      </c>
      <c r="N56" s="50" t="str">
        <f>IF('Personnel Yr 1'!$J$5&gt;2,IF(OR(ISBLANK(M56),M56=""),"",ROUND(SUM(L56:M56),2)),"")</f>
        <v/>
      </c>
      <c r="O56" s="182"/>
      <c r="P56" s="336">
        <f>IF('Personnel Yr 1'!$J$5&gt;2,IF(NOT(OR(ISBLANK(I56),I56="")),(H56/12)*I56,""),0)</f>
        <v>0</v>
      </c>
      <c r="Q56" s="337">
        <f>IF('Personnel Yr 1'!$J$5&gt;2,IF(NOT(OR(ISBLANK(J56),J56="")),(H56/8.5)*J56,""),0)</f>
        <v>0</v>
      </c>
      <c r="R56" s="336">
        <f>IF('Personnel Yr 1'!$J$5&gt;2,IF(NOT(OR(ISBLANK(K56),K56="")),(H56/8.5)*K56,""),0)</f>
        <v>0</v>
      </c>
      <c r="T56" s="336">
        <f t="shared" si="3"/>
        <v>0</v>
      </c>
      <c r="U56" s="336">
        <f t="shared" si="4"/>
        <v>0</v>
      </c>
      <c r="V56" s="336">
        <f t="shared" si="5"/>
        <v>0</v>
      </c>
      <c r="X56" s="336">
        <v>56</v>
      </c>
      <c r="Y56" s="336" t="b">
        <f>IF('Personnel Yr 1'!$J$5&gt;2,IF(OR($N$5&lt;&gt;"Federal - NIH",OR(AND(ISBLANK(I56),ISBLANK(J56),ISBLANK(K56)),AND(I56="",J56="",K56=""))),FALSE,IF(I56&gt;0,H56&gt;NIHSalaryCap,H56&gt;(NIHSalaryCap*8.5)/12)),FALSE)</f>
        <v>0</v>
      </c>
    </row>
    <row r="57" spans="1:25" x14ac:dyDescent="0.2">
      <c r="A57" s="5">
        <v>14</v>
      </c>
      <c r="B57" s="6" t="str">
        <f>IF('Personnel Yr 1'!$J$5&gt;2,IF(NOT(OR(ISBLANK('Personnel Yr 2'!B57),'Personnel Yr 2'!B57="")),'Personnel Yr 2'!B57,""),"")</f>
        <v/>
      </c>
      <c r="C57" s="22" t="str">
        <f>IF('Personnel Yr 1'!$J$5&gt;2,IF(ISBLANK('Personnel Yr 2'!C57),"",'Personnel Yr 2'!C57),"")</f>
        <v/>
      </c>
      <c r="D57" s="22" t="str">
        <f>IF('Personnel Yr 1'!$J$5&gt;2,IF(ISBLANK('Personnel Yr 2'!D57),"",'Personnel Yr 2'!D57),"")</f>
        <v/>
      </c>
      <c r="E57" s="22" t="str">
        <f>IF('Personnel Yr 1'!$J$5&gt;2,IF(ISBLANK('Personnel Yr 2'!E57),"",'Personnel Yr 2'!E57),"")</f>
        <v/>
      </c>
      <c r="F57" s="22" t="str">
        <f>IF('Personnel Yr 1'!$J$5&gt;2,IF(ISBLANK('Personnel Yr 2'!F57),"",'Personnel Yr 2'!F57),"")</f>
        <v/>
      </c>
      <c r="G57" s="22" t="str">
        <f>IF('Personnel Yr 1'!$J$5&gt;2,IF(ISBLANK('Personnel Yr 2'!G57),"",'Personnel Yr 2'!G57),"")</f>
        <v/>
      </c>
      <c r="H57" s="42" t="str">
        <f>IF('Personnel Yr 1'!$J$5&gt;2,IF(NOT(OR(ISBLANK('Personnel Yr 2'!H57),'Personnel Yr 2'!H57="")),(('Personnel Yr 2'!H57*'Personnel Yr 1'!$D$5)+'Personnel Yr 2'!H57),""),"")</f>
        <v/>
      </c>
      <c r="I57" s="22" t="str">
        <f>IF('Personnel Yr 1'!$J$5&gt;2,IF(AND(OR(ISBLANK(H57),H57=""),ISBLANK('Personnel Yr 2'!I57)),"",'Personnel Yr 2'!I57),"")</f>
        <v/>
      </c>
      <c r="J57" s="22" t="str">
        <f>IF('Personnel Yr 1'!$J$5&gt;2,IF(AND(OR(ISBLANK(I57),I57=""),ISBLANK('Personnel Yr 2'!J57)),"",'Personnel Yr 2'!J57),"")</f>
        <v/>
      </c>
      <c r="K57" s="22" t="str">
        <f>IF('Personnel Yr 1'!$J$5&gt;2,IF(AND(OR(ISBLANK(J57),J57=""),ISBLANK('Personnel Yr 2'!K57)),"",'Personnel Yr 2'!K57),"")</f>
        <v/>
      </c>
      <c r="L57" s="44" t="str">
        <f>IF('Personnel Yr 1'!$J$5&gt;2,IF(NOT(OR(ISBLANK(H57),H57="")),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1'!$J$5&gt;2,IF(OR(ISBLANK(L57),L57=""),"",ROUND(SUM(T57:V57),2)),"")</f>
        <v/>
      </c>
      <c r="N57" s="51" t="str">
        <f>IF('Personnel Yr 1'!$J$5&gt;2,IF(OR(ISBLANK(M57),M57=""),"",ROUND(SUM(L57:M57),2)),"")</f>
        <v/>
      </c>
      <c r="O57" s="157"/>
      <c r="P57" s="336">
        <f>IF('Personnel Yr 1'!$J$5&gt;2,IF(NOT(OR(ISBLANK(I57),I57="")),(H57/12)*I57,""),0)</f>
        <v>0</v>
      </c>
      <c r="Q57" s="337">
        <f>IF('Personnel Yr 1'!$J$5&gt;2,IF(NOT(OR(ISBLANK(J57),J57="")),(H57/8.5)*J57,""),0)</f>
        <v>0</v>
      </c>
      <c r="R57" s="336">
        <f>IF('Personnel Yr 1'!$J$5&gt;2,IF(NOT(OR(ISBLANK(K57),K57="")),(H57/8.5)*K57,""),0)</f>
        <v>0</v>
      </c>
      <c r="T57" s="336">
        <f t="shared" si="3"/>
        <v>0</v>
      </c>
      <c r="U57" s="336">
        <f t="shared" si="4"/>
        <v>0</v>
      </c>
      <c r="V57" s="336">
        <f t="shared" si="5"/>
        <v>0</v>
      </c>
      <c r="X57" s="336">
        <v>57</v>
      </c>
      <c r="Y57" s="336" t="b">
        <f>IF('Personnel Yr 1'!$J$5&gt;2,IF(OR($N$5&lt;&gt;"Federal - NIH",OR(AND(ISBLANK(I57),ISBLANK(J57),ISBLANK(K57)),AND(I57="",J57="",K57=""))),FALSE,IF(I57&gt;0,H57&gt;NIHSalaryCap,H57&gt;(NIHSalaryCap*8.5)/12)),FALSE)</f>
        <v>0</v>
      </c>
    </row>
    <row r="58" spans="1:25" ht="13.5" thickBot="1" x14ac:dyDescent="0.25">
      <c r="A58" s="5">
        <v>15</v>
      </c>
      <c r="B58" s="175" t="str">
        <f>IF('Personnel Yr 1'!$J$5&gt;2,IF(NOT(OR(ISBLANK('Personnel Yr 2'!B58),'Personnel Yr 2'!B58="")),'Personnel Yr 2'!B58,""),"")</f>
        <v/>
      </c>
      <c r="C58" s="29" t="str">
        <f>IF('Personnel Yr 1'!$J$5&gt;2,IF(ISBLANK('Personnel Yr 2'!C58),"",'Personnel Yr 2'!C58),"")</f>
        <v/>
      </c>
      <c r="D58" s="29" t="str">
        <f>IF('Personnel Yr 1'!$J$5&gt;2,IF(ISBLANK('Personnel Yr 2'!D58),"",'Personnel Yr 2'!D58),"")</f>
        <v/>
      </c>
      <c r="E58" s="29" t="str">
        <f>IF('Personnel Yr 1'!$J$5&gt;2,IF(ISBLANK('Personnel Yr 2'!E58),"",'Personnel Yr 2'!E58),"")</f>
        <v/>
      </c>
      <c r="F58" s="29" t="str">
        <f>IF('Personnel Yr 1'!$J$5&gt;2,IF(ISBLANK('Personnel Yr 2'!F58),"",'Personnel Yr 2'!F58),"")</f>
        <v/>
      </c>
      <c r="G58" s="179" t="str">
        <f>IF('Personnel Yr 1'!$J$5&gt;2,IF(ISBLANK('Personnel Yr 2'!G58),"",'Personnel Yr 2'!G58),"")</f>
        <v/>
      </c>
      <c r="H58" s="43" t="str">
        <f>IF('Personnel Yr 1'!$J$5&gt;2,IF(NOT(OR(ISBLANK('Personnel Yr 2'!H58),'Personnel Yr 2'!H58="")),(('Personnel Yr 2'!H58*'Personnel Yr 1'!$D$5)+'Personnel Yr 2'!H58),""),"")</f>
        <v/>
      </c>
      <c r="I58" s="29" t="str">
        <f>IF('Personnel Yr 1'!$J$5&gt;2,IF(AND(OR(ISBLANK(H58),H58=""),ISBLANK('Personnel Yr 2'!I58)),"",'Personnel Yr 2'!I58),"")</f>
        <v/>
      </c>
      <c r="J58" s="29" t="str">
        <f>IF('Personnel Yr 1'!$J$5&gt;2,IF(AND(OR(ISBLANK(I58),I58=""),ISBLANK('Personnel Yr 2'!J58)),"",'Personnel Yr 2'!J58),"")</f>
        <v/>
      </c>
      <c r="K58" s="29" t="str">
        <f>IF('Personnel Yr 1'!$J$5&gt;2,IF(AND(OR(ISBLANK(J58),J58=""),ISBLANK('Personnel Yr 2'!K58)),"",'Personnel Yr 2'!K58),"")</f>
        <v/>
      </c>
      <c r="L58" s="52" t="str">
        <f>IF('Personnel Yr 1'!$J$5&gt;2,IF(NOT(OR(ISBLANK(H58),H58="")),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1'!$J$5&gt;2,IF(OR(ISBLANK(L58),L58=""),"",ROUND(SUM(T58:V58),2)),"")</f>
        <v/>
      </c>
      <c r="N58" s="181" t="str">
        <f>IF('Personnel Yr 1'!$J$5&gt;2,IF(OR(ISBLANK(M58),M58=""),"",ROUND(SUM(L58:M58),2)),"")</f>
        <v/>
      </c>
      <c r="O58" s="161"/>
      <c r="P58" s="336">
        <f>IF('Personnel Yr 1'!$J$5&gt;2,IF(NOT(OR(ISBLANK(I58),I58="")),(H58/12)*I58,""),0)</f>
        <v>0</v>
      </c>
      <c r="Q58" s="337">
        <f>IF('Personnel Yr 1'!$J$5&gt;2,IF(NOT(OR(ISBLANK(J58),J58="")),(H58/8.5)*J58,""),0)</f>
        <v>0</v>
      </c>
      <c r="R58" s="336">
        <f>IF('Personnel Yr 1'!$J$5&gt;2,IF(NOT(OR(ISBLANK(K58),K58="")),(H58/8.5)*K58,""),0)</f>
        <v>0</v>
      </c>
      <c r="T58" s="336">
        <f t="shared" si="3"/>
        <v>0</v>
      </c>
      <c r="U58" s="336">
        <f t="shared" si="4"/>
        <v>0</v>
      </c>
      <c r="V58" s="336">
        <f t="shared" si="5"/>
        <v>0</v>
      </c>
      <c r="X58" s="336">
        <v>58</v>
      </c>
      <c r="Y58" s="336" t="b">
        <f>IF('Personnel Yr 1'!$J$5&gt;2,IF(OR($N$5&lt;&gt;"Federal - NIH",OR(AND(ISBLANK(I58),ISBLANK(J58),ISBLANK(K58)),AND(I58="",J58="",K58=""))),FALSE,IF(I58&gt;0,H58&gt;NIHSalaryCap,H58&gt;(NIHSalaryCap*8.5)/12)),FALSE)</f>
        <v>0</v>
      </c>
    </row>
    <row r="59" spans="1:25" ht="13.5" thickBot="1" x14ac:dyDescent="0.25">
      <c r="B59" s="27">
        <f>ROWS(E44:E58)-COUNTIF(E44:E58,"")</f>
        <v>0</v>
      </c>
      <c r="N59" s="56">
        <f>SUM(N44:N58)</f>
        <v>0</v>
      </c>
      <c r="P59" s="336">
        <f>SUM(P44:P58)</f>
        <v>0</v>
      </c>
      <c r="Q59" s="336">
        <f t="shared" ref="Q59:V59" si="6">SUM(Q44:Q58)</f>
        <v>0</v>
      </c>
      <c r="R59" s="336">
        <f t="shared" si="6"/>
        <v>0</v>
      </c>
      <c r="S59" s="336">
        <f t="shared" si="6"/>
        <v>0</v>
      </c>
      <c r="T59" s="336">
        <f t="shared" si="6"/>
        <v>0</v>
      </c>
      <c r="U59" s="336">
        <f t="shared" si="6"/>
        <v>0</v>
      </c>
      <c r="V59" s="336">
        <f t="shared" si="6"/>
        <v>0</v>
      </c>
    </row>
  </sheetData>
  <sheetProtection algorithmName="SHA-512" hashValue="iP/mMl2eGZscHZyClTHaoHRpj/j1tMC5BRxK9z5yEac379be1gNUltdckchpMT4eXmgIxf2DcFXmkOESNvm4GA==" saltValue="wiahhFwmon3G2LdK0e1VwQ==" spinCount="100000" sheet="1" objects="1" scenarios="1"/>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6">
    <cfRule type="cellIs" dxfId="23" priority="29" stopIfTrue="1" operator="lessThan">
      <formula>1</formula>
    </cfRule>
  </conditionalFormatting>
  <conditionalFormatting sqref="H23">
    <cfRule type="cellIs" dxfId="22" priority="30" stopIfTrue="1" operator="equal">
      <formula>""</formula>
    </cfRule>
  </conditionalFormatting>
  <conditionalFormatting sqref="L27:L28">
    <cfRule type="cellIs" dxfId="21" priority="27" stopIfTrue="1" operator="lessThan">
      <formula>1</formula>
    </cfRule>
  </conditionalFormatting>
  <conditionalFormatting sqref="H7:H14">
    <cfRule type="expression" dxfId="20" priority="2">
      <formula>$Y$7</formula>
    </cfRule>
  </conditionalFormatting>
  <conditionalFormatting sqref="H44:H58">
    <cfRule type="expression" dxfId="19" priority="1">
      <formula>$Y$7</formula>
    </cfRule>
  </conditionalFormatting>
  <dataValidations disablePrompts="1" count="3">
    <dataValidation type="list" allowBlank="1" showInputMessage="1" showErrorMessage="1" sqref="H23" xr:uid="{00000000-0002-0000-0300-000000000000}">
      <formula1>Grad</formula1>
    </dataValidation>
    <dataValidation type="list" allowBlank="1" showInputMessage="1" showErrorMessage="1" sqref="B7:B14 B44:B58" xr:uid="{00000000-0002-0000-0300-000001000000}">
      <formula1>Prefix</formula1>
    </dataValidation>
    <dataValidation type="list" allowBlank="1" showInputMessage="1" showErrorMessage="1" sqref="G7:G14 G44:G58" xr:uid="{00000000-0002-0000-0300-000002000000}">
      <formula1>Roles</formula1>
    </dataValidation>
  </dataValidations>
  <printOptions horizontalCentered="1"/>
  <pageMargins left="0.25" right="0.25" top="0.5" bottom="0.5" header="0.5" footer="0.5"/>
  <pageSetup scale="91" orientation="landscape" r:id="rId1"/>
  <headerFooter alignWithMargins="0">
    <oddFooter>&amp;RPrinted On: &amp;D &amp;T</oddFooter>
  </headerFooter>
  <colBreaks count="1" manualBreakCount="1">
    <brk id="14" max="1048575" man="1"/>
  </colBreaks>
  <ignoredErrors>
    <ignoredError sqref="J29:K31 B29:G31 I29:I31 H29:H31 L29:L31 M29:M31 N17:N20 N30:N31 N25 N7:N8 N9:N14 N21:N22 H21:H22 I21:I26 B9:G14 M21:M24 B21:G22 J21:K26 L15:L20 B7:G8 J15:K20 B17:G20 M15:M20 I15:I20 H15:H20 L21 B44:G58 C15:G16 L26:L28 M44:N44 M45:N58 B24:G24 B23:C23 G23 L24:L25 N24 H24:H26 B26:G26 B25 D25:G25" unlockedFormula="1"/>
    <ignoredError sqref="M25" formula="1" unlockedFormula="1"/>
  </ignoredErrors>
  <extLst>
    <ext xmlns:x14="http://schemas.microsoft.com/office/spreadsheetml/2009/9/main" uri="{78C0D931-6437-407d-A8EE-F0AAD7539E65}">
      <x14:conditionalFormattings>
        <x14:conditionalFormatting xmlns:xm="http://schemas.microsoft.com/office/excel/2006/main">
          <x14:cfRule type="expression" priority="26" id="{7621815F-B6DD-472E-8F03-F1C5CA67CFB4}">
            <xm:f>IF('Personnel Yr 1'!N5="Federal - NIH",SUM('Non-personnel'!$L$41,$N$23)/IF(OR(ISBLANK($B$23),NOT(ISNUMBER($B$23))),1,$B$23)&gt;NIHGradLimit)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disablePrompts="1" count="2">
        <x14:dataValidation type="custom" errorStyle="information" allowBlank="1" showInputMessage="1" showErrorMessage="1" errorTitle="Salary Cap Error" error="Base salary should remain under $185,100 for calandar appointments and $131,112 for academic appointments." xr:uid="{00000000-0002-0000-03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300-000004000000}">
          <x14:formula1>
            <xm:f>OR(AND('Personnel Yr 1'!N5="Federal - NIH",SUM('Non-personnel'!$L$41,$N$23)/IF(OR(ISBLANK(B23),NOT(ISNUMBER(B23))),1,B23)&lt;=NIHGradLimit),'Personnel Yr 1'!N5&lt;&gt;"Federal - NIH")</xm:f>
          </x14:formula1>
          <xm:sqref>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59"/>
  <sheetViews>
    <sheetView zoomScaleNormal="100" workbookViewId="0">
      <selection activeCell="A2" sqref="A2"/>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5" width="9.140625" style="336"/>
  </cols>
  <sheetData>
    <row r="1" spans="1:25" ht="18" x14ac:dyDescent="0.25">
      <c r="A1" s="561" t="s">
        <v>507</v>
      </c>
      <c r="B1" s="561"/>
      <c r="C1" s="561"/>
      <c r="D1" s="561"/>
      <c r="E1" s="561"/>
      <c r="F1" s="561"/>
      <c r="G1" s="561"/>
      <c r="H1" s="561"/>
      <c r="I1" s="561"/>
      <c r="J1" s="561"/>
      <c r="K1" s="561"/>
      <c r="L1" s="561"/>
      <c r="M1" s="561"/>
      <c r="N1" s="561"/>
    </row>
    <row r="2" spans="1:25" x14ac:dyDescent="0.2">
      <c r="A2" s="1"/>
      <c r="B2" s="1"/>
      <c r="C2" s="1"/>
      <c r="D2" s="1"/>
      <c r="E2" s="1"/>
      <c r="F2" s="1"/>
      <c r="G2" s="1"/>
      <c r="H2" s="1"/>
      <c r="I2" s="1"/>
      <c r="J2" s="1"/>
      <c r="K2" s="1"/>
      <c r="L2" s="1"/>
      <c r="M2" s="1"/>
      <c r="N2" s="1"/>
    </row>
    <row r="3" spans="1:25" ht="18" x14ac:dyDescent="0.25">
      <c r="A3" s="561" t="s">
        <v>80</v>
      </c>
      <c r="B3" s="561"/>
      <c r="C3" s="561"/>
      <c r="D3" s="561"/>
      <c r="E3" s="561"/>
      <c r="F3" s="561"/>
      <c r="G3" s="561"/>
      <c r="H3" s="561"/>
      <c r="I3" s="561"/>
      <c r="J3" s="561"/>
      <c r="K3" s="561"/>
      <c r="L3" s="561"/>
      <c r="M3" s="561"/>
      <c r="N3" s="561"/>
    </row>
    <row r="4" spans="1:25" ht="18" x14ac:dyDescent="0.25">
      <c r="A4" s="63"/>
      <c r="B4" s="63"/>
      <c r="C4" s="63"/>
      <c r="D4" s="63"/>
      <c r="E4" s="63"/>
      <c r="F4" s="63"/>
      <c r="G4" s="63"/>
      <c r="H4" s="63"/>
      <c r="I4" s="63"/>
      <c r="J4" s="63"/>
      <c r="K4" s="63"/>
      <c r="L4" s="63"/>
      <c r="M4" s="63"/>
      <c r="N4" s="63"/>
    </row>
    <row r="5" spans="1:25" x14ac:dyDescent="0.2">
      <c r="A5" s="2"/>
      <c r="B5" s="562" t="s">
        <v>5</v>
      </c>
      <c r="C5" s="562"/>
      <c r="D5" s="74"/>
      <c r="E5" s="2"/>
      <c r="F5" s="2"/>
      <c r="G5" s="2"/>
      <c r="H5" s="2"/>
      <c r="I5" s="2"/>
      <c r="J5" s="2"/>
      <c r="K5" s="2"/>
      <c r="L5" s="2"/>
      <c r="M5" s="2"/>
      <c r="N5" s="347" t="str">
        <f>'Personnel Yr 3'!N5</f>
        <v>Fnd/Prof Soc</v>
      </c>
      <c r="O5" s="9"/>
    </row>
    <row r="6" spans="1:25" ht="26.25" thickBot="1" x14ac:dyDescent="0.25">
      <c r="A6" s="2"/>
      <c r="B6" s="4"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T6" s="335" t="s">
        <v>66</v>
      </c>
      <c r="U6" s="335" t="s">
        <v>67</v>
      </c>
      <c r="V6" s="335" t="s">
        <v>68</v>
      </c>
      <c r="Y6" s="336" t="s">
        <v>464</v>
      </c>
    </row>
    <row r="7" spans="1:25" x14ac:dyDescent="0.2">
      <c r="A7" s="5">
        <v>1</v>
      </c>
      <c r="B7" s="75" t="str">
        <f>IF('Personnel Yr 1'!$J$5&gt;3,IF(NOT(OR(ISBLANK('Personnel Yr 3'!B7),'Personnel Yr 3'!B7="")),'Personnel Yr 3'!B7,""),"")</f>
        <v/>
      </c>
      <c r="C7" s="17" t="str">
        <f>IF('Personnel Yr 1'!$J$5&gt;3,IF(ISBLANK('Personnel Yr 3'!C7),"",'Personnel Yr 3'!C7),"")</f>
        <v/>
      </c>
      <c r="D7" s="17" t="str">
        <f>IF('Personnel Yr 1'!$J$5&gt;3,IF(ISBLANK('Personnel Yr 3'!D7),"",'Personnel Yr 3'!D7),"")</f>
        <v/>
      </c>
      <c r="E7" s="17" t="str">
        <f>IF('Personnel Yr 1'!$J$5&gt;3,IF(ISBLANK('Personnel Yr 3'!E7),"",'Personnel Yr 3'!E7),"")</f>
        <v/>
      </c>
      <c r="F7" s="17" t="str">
        <f>IF('Personnel Yr 1'!$J$5&gt;3,IF(ISBLANK('Personnel Yr 3'!F7),"",'Personnel Yr 3'!F7),"")</f>
        <v/>
      </c>
      <c r="G7" s="17" t="str">
        <f>IF('Personnel Yr 1'!$J$5&gt;3,IF(ISBLANK('Personnel Yr 3'!G7),"",'Personnel Yr 3'!G7),"")</f>
        <v/>
      </c>
      <c r="H7" s="177" t="str">
        <f>IF('Personnel Yr 1'!$J$5&gt;3,IF(NOT(OR(ISBLANK('Personnel Yr 3'!H7),'Personnel Yr 3'!H7="")),(('Personnel Yr 3'!H7*'Personnel Yr 1'!$D$5)+'Personnel Yr 3'!H7),""),"")</f>
        <v/>
      </c>
      <c r="I7" s="17" t="str">
        <f>IF('Personnel Yr 1'!$J$5&gt;3,IF(AND(OR(ISBLANK(H7),H7=""),ISBLANK('Personnel Yr 3'!I7)),"",'Personnel Yr 3'!I7),"")</f>
        <v/>
      </c>
      <c r="J7" s="17" t="str">
        <f>IF('Personnel Yr 1'!$J$5&gt;3,IF(AND(OR(ISBLANK(I7),I7=""),ISBLANK('Personnel Yr 3'!J7)),"",'Personnel Yr 3'!J7),"")</f>
        <v/>
      </c>
      <c r="K7" s="17" t="str">
        <f>IF('Personnel Yr 1'!$J$5&gt;3,IF(AND(OR(ISBLANK(J7),J7=""),ISBLANK('Personnel Yr 3'!K7)),"",'Personnel Yr 3'!K7),"")</f>
        <v/>
      </c>
      <c r="L7" s="45" t="str">
        <f>IF('Personnel Yr 1'!$J$5&gt;3,IF(NOT(OR(ISBLANK(H7),H7="")),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1'!$J$5&gt;3,IF(OR(ISBLANK(L7),L7=""),"",ROUND(SUM(T7:V7),2)),"")</f>
        <v/>
      </c>
      <c r="N7" s="46" t="str">
        <f>IF('Personnel Yr 1'!$J$5&gt;3,IF(OR(ISBLANK(M7),M7=""),"",ROUND(SUM(L7:M7),2)),"")</f>
        <v/>
      </c>
      <c r="O7" s="158"/>
      <c r="P7" s="336">
        <f>IF('Personnel Yr 1'!$J$5&gt;3,IF(NOT(OR(ISBLANK(I7),I7="")),(H7/12)*I7,""),0)</f>
        <v>0</v>
      </c>
      <c r="Q7" s="336">
        <f>IF('Personnel Yr 1'!$J$5&gt;3,IF(NOT(OR(ISBLANK(J7),J7="")),(H7/8.5)*J7,""),0)</f>
        <v>0</v>
      </c>
      <c r="R7" s="336">
        <f>IF('Personnel Yr 1'!$J$5&gt;3,IF(NOT(OR(ISBLANK(K7),K7="")),(H7/8.5)*K7,""),0)</f>
        <v>0</v>
      </c>
      <c r="T7" s="347">
        <f>IF(OR(ISBLANK(P7),P7=""),0,P7*LOOKUP("Full",Ben,Per))</f>
        <v>0</v>
      </c>
      <c r="U7" s="347">
        <f>IF(OR(ISBLANK(Q7),Q7=""),0,Q7*LOOKUP("Full",Ben,Per))</f>
        <v>0</v>
      </c>
      <c r="V7" s="347">
        <f>IF(OR(ISBLANK(R7),R7=""),0,R7*LOOKUP("Summer",Ben,Per))</f>
        <v>0</v>
      </c>
      <c r="X7" s="336">
        <v>7</v>
      </c>
      <c r="Y7" s="336" t="b">
        <f>IF('Personnel Yr 1'!$J$5&gt;3,IF(OR($N$5&lt;&gt;"Federal - NIH",OR(AND(ISBLANK(I7),ISBLANK(J7),ISBLANK(K7)),AND(I7="",J7="",K7=""))),FALSE,IF(I7&gt;0,H7&gt;NIHSalaryCap,H7&gt;(NIHSalaryCap*8.5)/12)),FALSE)</f>
        <v>0</v>
      </c>
    </row>
    <row r="8" spans="1:25" x14ac:dyDescent="0.2">
      <c r="A8" s="5">
        <v>2</v>
      </c>
      <c r="B8" s="6" t="str">
        <f>IF('Personnel Yr 1'!$J$5&gt;3,IF(NOT(OR(ISBLANK('Personnel Yr 3'!B8),'Personnel Yr 3'!B8="")),'Personnel Yr 3'!B8,""),"")</f>
        <v/>
      </c>
      <c r="C8" s="22" t="str">
        <f>IF('Personnel Yr 1'!$J$5&gt;3,IF(ISBLANK('Personnel Yr 3'!C8),"",'Personnel Yr 3'!C8),"")</f>
        <v/>
      </c>
      <c r="D8" s="22" t="str">
        <f>IF('Personnel Yr 1'!$J$5&gt;3,IF(ISBLANK('Personnel Yr 3'!D8),"",'Personnel Yr 3'!D8),"")</f>
        <v/>
      </c>
      <c r="E8" s="22" t="str">
        <f>IF('Personnel Yr 1'!$J$5&gt;3,IF(ISBLANK('Personnel Yr 3'!E8),"",'Personnel Yr 3'!E8),"")</f>
        <v/>
      </c>
      <c r="F8" s="22" t="str">
        <f>IF('Personnel Yr 1'!$J$5&gt;3,IF(ISBLANK('Personnel Yr 3'!F8),"",'Personnel Yr 3'!F8),"")</f>
        <v/>
      </c>
      <c r="G8" s="22" t="str">
        <f>IF('Personnel Yr 1'!$J$5&gt;3,IF(ISBLANK('Personnel Yr 3'!G8),"",'Personnel Yr 3'!G8),"")</f>
        <v/>
      </c>
      <c r="H8" s="42" t="str">
        <f>IF('Personnel Yr 1'!$J$5&gt;3,IF(NOT(OR(ISBLANK('Personnel Yr 3'!H8),'Personnel Yr 3'!H8="")),(('Personnel Yr 3'!H8*'Personnel Yr 1'!$D$5)+'Personnel Yr 3'!H8),""),"")</f>
        <v/>
      </c>
      <c r="I8" s="22" t="str">
        <f>IF('Personnel Yr 1'!$J$5&gt;3,IF(AND(OR(ISBLANK(H8),H8=""),ISBLANK('Personnel Yr 3'!I8)),"",'Personnel Yr 3'!I8),"")</f>
        <v/>
      </c>
      <c r="J8" s="22" t="str">
        <f>IF('Personnel Yr 1'!$J$5&gt;3,IF(AND(OR(ISBLANK(I8),I8=""),ISBLANK('Personnel Yr 3'!J8)),"",'Personnel Yr 3'!J8),"")</f>
        <v/>
      </c>
      <c r="K8" s="22" t="str">
        <f>IF('Personnel Yr 1'!$J$5&gt;3,IF(AND(OR(ISBLANK(J8),J8=""),ISBLANK('Personnel Yr 3'!K8)),"",'Personnel Yr 3'!K8),"")</f>
        <v/>
      </c>
      <c r="L8" s="44" t="str">
        <f>IF('Personnel Yr 1'!$J$5&gt;3,IF(NOT(OR(ISBLANK(H8),H8="")),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1'!$J$5&gt;3,IF(OR(ISBLANK(L8),L8=""),"",ROUND(SUM(T8:V8),2)),"")</f>
        <v/>
      </c>
      <c r="N8" s="51" t="str">
        <f>IF('Personnel Yr 1'!$J$5&gt;3,IF(OR(ISBLANK(M8),M8=""),"",ROUND(SUM(L8:M8),2)),"")</f>
        <v/>
      </c>
      <c r="O8" s="159"/>
      <c r="P8" s="336">
        <f>IF('Personnel Yr 1'!$J$5&gt;3,IF(NOT(OR(ISBLANK(I8),I8="")),(H8/12)*I8,""),0)</f>
        <v>0</v>
      </c>
      <c r="Q8" s="336">
        <f>IF('Personnel Yr 1'!$J$5&gt;3,IF(NOT(OR(ISBLANK(J8),J8="")),(H8/8.5)*J8,""),0)</f>
        <v>0</v>
      </c>
      <c r="R8" s="336">
        <f>IF('Personnel Yr 1'!$J$5&gt;3,IF(NOT(OR(ISBLANK(K8),K8="")),(H8/8.5)*K8,""),0)</f>
        <v>0</v>
      </c>
      <c r="T8" s="347">
        <f t="shared" ref="T8:U14" si="0">IF(OR(ISBLANK(P8),P8=""),0,P8*LOOKUP("Full",Ben,Per))</f>
        <v>0</v>
      </c>
      <c r="U8" s="347">
        <f t="shared" si="0"/>
        <v>0</v>
      </c>
      <c r="V8" s="347">
        <f t="shared" ref="V8:V14" si="1">IF(OR(ISBLANK(R8),R8=""),0,R8*LOOKUP("Summer",Ben,Per))</f>
        <v>0</v>
      </c>
      <c r="X8" s="336">
        <v>8</v>
      </c>
      <c r="Y8" s="336" t="b">
        <f>IF('Personnel Yr 1'!$J$5&gt;3,IF(OR($N$5&lt;&gt;"Federal - NIH",OR(AND(ISBLANK(I8),ISBLANK(J8),ISBLANK(K8)),AND(I8="",J8="",K8=""))),FALSE,IF(I8&gt;0,H8&gt;NIHSalaryCap,H8&gt;(NIHSalaryCap*8.5)/12)),FALSE)</f>
        <v>0</v>
      </c>
    </row>
    <row r="9" spans="1:25" x14ac:dyDescent="0.2">
      <c r="A9" s="5">
        <v>3</v>
      </c>
      <c r="B9" s="6" t="str">
        <f>IF('Personnel Yr 1'!$J$5&gt;3,IF(NOT(OR(ISBLANK('Personnel Yr 3'!B9),'Personnel Yr 3'!B9="")),'Personnel Yr 3'!B9,""),"")</f>
        <v/>
      </c>
      <c r="C9" s="22" t="str">
        <f>IF('Personnel Yr 1'!$J$5&gt;3,IF(ISBLANK('Personnel Yr 3'!C9),"",'Personnel Yr 3'!C9),"")</f>
        <v/>
      </c>
      <c r="D9" s="22" t="str">
        <f>IF('Personnel Yr 1'!$J$5&gt;3,IF(ISBLANK('Personnel Yr 3'!D9),"",'Personnel Yr 3'!D9),"")</f>
        <v/>
      </c>
      <c r="E9" s="22" t="str">
        <f>IF('Personnel Yr 1'!$J$5&gt;3,IF(ISBLANK('Personnel Yr 3'!E9),"",'Personnel Yr 3'!E9),"")</f>
        <v/>
      </c>
      <c r="F9" s="22" t="str">
        <f>IF('Personnel Yr 1'!$J$5&gt;3,IF(ISBLANK('Personnel Yr 3'!F9),"",'Personnel Yr 3'!F9),"")</f>
        <v/>
      </c>
      <c r="G9" s="22" t="str">
        <f>IF('Personnel Yr 1'!$J$5&gt;3,IF(ISBLANK('Personnel Yr 3'!G9),"",'Personnel Yr 3'!G9),"")</f>
        <v/>
      </c>
      <c r="H9" s="42" t="str">
        <f>IF('Personnel Yr 1'!$J$5&gt;3,IF(NOT(OR(ISBLANK('Personnel Yr 3'!H9),'Personnel Yr 3'!H9="")),(('Personnel Yr 3'!H9*'Personnel Yr 1'!$D$5)+'Personnel Yr 3'!H9),""),"")</f>
        <v/>
      </c>
      <c r="I9" s="22" t="str">
        <f>IF('Personnel Yr 1'!$J$5&gt;3,IF(AND(OR(ISBLANK(H9),H9=""),ISBLANK('Personnel Yr 3'!I9)),"",'Personnel Yr 3'!I9),"")</f>
        <v/>
      </c>
      <c r="J9" s="22" t="str">
        <f>IF('Personnel Yr 1'!$J$5&gt;3,IF(AND(OR(ISBLANK(I9),I9=""),ISBLANK('Personnel Yr 3'!J9)),"",'Personnel Yr 3'!J9),"")</f>
        <v/>
      </c>
      <c r="K9" s="22" t="str">
        <f>IF('Personnel Yr 1'!$J$5&gt;3,IF(AND(OR(ISBLANK(J9),J9=""),ISBLANK('Personnel Yr 3'!K9)),"",'Personnel Yr 3'!K9),"")</f>
        <v/>
      </c>
      <c r="L9" s="44" t="str">
        <f>IF('Personnel Yr 1'!$J$5&gt;3,IF(NOT(OR(ISBLANK(H9),H9="")),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1'!$J$5&gt;3,IF(OR(ISBLANK(L9),L9=""),"",ROUND(SUM(T9:V9),2)),"")</f>
        <v/>
      </c>
      <c r="N9" s="51" t="str">
        <f>IF('Personnel Yr 1'!$J$5&gt;3,IF(OR(ISBLANK(M9),M9=""),"",ROUND(SUM(L9:M9),2)),"")</f>
        <v/>
      </c>
      <c r="O9" s="157"/>
      <c r="P9" s="336">
        <f>IF('Personnel Yr 1'!$J$5&gt;3,IF(NOT(OR(ISBLANK(I9),I9="")),(H9/12)*I9,""),0)</f>
        <v>0</v>
      </c>
      <c r="Q9" s="336">
        <f>IF('Personnel Yr 1'!$J$5&gt;3,IF(NOT(OR(ISBLANK(J9),J9="")),(H9/8.5)*J9,""),0)</f>
        <v>0</v>
      </c>
      <c r="R9" s="336">
        <f>IF('Personnel Yr 1'!$J$5&gt;3,IF(NOT(OR(ISBLANK(K9),K9="")),(H9/8.5)*K9,""),0)</f>
        <v>0</v>
      </c>
      <c r="T9" s="347">
        <f t="shared" si="0"/>
        <v>0</v>
      </c>
      <c r="U9" s="347">
        <f t="shared" si="0"/>
        <v>0</v>
      </c>
      <c r="V9" s="347">
        <f t="shared" si="1"/>
        <v>0</v>
      </c>
      <c r="X9" s="336">
        <v>9</v>
      </c>
      <c r="Y9" s="336" t="b">
        <f>IF('Personnel Yr 1'!$J$5&gt;3,IF(OR($N$5&lt;&gt;"Federal - NIH",OR(AND(ISBLANK(I9),ISBLANK(J9),ISBLANK(K9)),AND(I9="",J9="",K9=""))),FALSE,IF(I9&gt;0,H9&gt;NIHSalaryCap,H9&gt;(NIHSalaryCap*8.5)/12)),FALSE)</f>
        <v>0</v>
      </c>
    </row>
    <row r="10" spans="1:25" x14ac:dyDescent="0.2">
      <c r="A10" s="5">
        <v>4</v>
      </c>
      <c r="B10" s="6" t="str">
        <f>IF('Personnel Yr 1'!$J$5&gt;3,IF(NOT(OR(ISBLANK('Personnel Yr 3'!B10),'Personnel Yr 3'!B10="")),'Personnel Yr 3'!B10,""),"")</f>
        <v/>
      </c>
      <c r="C10" s="22" t="str">
        <f>IF('Personnel Yr 1'!$J$5&gt;3,IF(ISBLANK('Personnel Yr 3'!C10),"",'Personnel Yr 3'!C10),"")</f>
        <v/>
      </c>
      <c r="D10" s="22" t="str">
        <f>IF('Personnel Yr 1'!$J$5&gt;3,IF(ISBLANK('Personnel Yr 3'!D10),"",'Personnel Yr 3'!D10),"")</f>
        <v/>
      </c>
      <c r="E10" s="22" t="str">
        <f>IF('Personnel Yr 1'!$J$5&gt;3,IF(ISBLANK('Personnel Yr 3'!E10),"",'Personnel Yr 3'!E10),"")</f>
        <v/>
      </c>
      <c r="F10" s="22" t="str">
        <f>IF('Personnel Yr 1'!$J$5&gt;3,IF(ISBLANK('Personnel Yr 3'!F10),"",'Personnel Yr 3'!F10),"")</f>
        <v/>
      </c>
      <c r="G10" s="22" t="str">
        <f>IF('Personnel Yr 1'!$J$5&gt;3,IF(ISBLANK('Personnel Yr 3'!G10),"",'Personnel Yr 3'!G10),"")</f>
        <v/>
      </c>
      <c r="H10" s="42" t="str">
        <f>IF('Personnel Yr 1'!$J$5&gt;3,IF(NOT(OR(ISBLANK('Personnel Yr 3'!H10),'Personnel Yr 3'!H10="")),(('Personnel Yr 3'!H10*'Personnel Yr 1'!$D$5)+'Personnel Yr 3'!H10),""),"")</f>
        <v/>
      </c>
      <c r="I10" s="22" t="str">
        <f>IF('Personnel Yr 1'!$J$5&gt;3,IF(AND(OR(ISBLANK(H10),H10=""),ISBLANK('Personnel Yr 3'!I10)),"",'Personnel Yr 3'!I10),"")</f>
        <v/>
      </c>
      <c r="J10" s="22" t="str">
        <f>IF('Personnel Yr 1'!$J$5&gt;3,IF(AND(OR(ISBLANK(I10),I10=""),ISBLANK('Personnel Yr 3'!J10)),"",'Personnel Yr 3'!J10),"")</f>
        <v/>
      </c>
      <c r="K10" s="22" t="str">
        <f>IF('Personnel Yr 1'!$J$5&gt;3,IF(AND(OR(ISBLANK(J10),J10=""),ISBLANK('Personnel Yr 3'!K10)),"",'Personnel Yr 3'!K10),"")</f>
        <v/>
      </c>
      <c r="L10" s="44" t="str">
        <f>IF('Personnel Yr 1'!$J$5&gt;3,IF(NOT(OR(ISBLANK(H10),H10="")),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1'!$J$5&gt;3,IF(OR(ISBLANK(L10),L10=""),"",ROUND(SUM(T10:V10),2)),"")</f>
        <v/>
      </c>
      <c r="N10" s="51" t="str">
        <f>IF('Personnel Yr 1'!$J$5&gt;3,IF(OR(ISBLANK(M10),M10=""),"",ROUND(SUM(L10:M10),2)),"")</f>
        <v/>
      </c>
      <c r="O10" s="160"/>
      <c r="P10" s="336">
        <f>IF('Personnel Yr 1'!$J$5&gt;3,IF(NOT(OR(ISBLANK(I10),I10="")),(H10/12)*I10,""),0)</f>
        <v>0</v>
      </c>
      <c r="Q10" s="336">
        <f>IF('Personnel Yr 1'!$J$5&gt;3,IF(NOT(OR(ISBLANK(J10),J10="")),(H10/8.5)*J10,""),0)</f>
        <v>0</v>
      </c>
      <c r="R10" s="336">
        <f>IF('Personnel Yr 1'!$J$5&gt;3,IF(NOT(OR(ISBLANK(K10),K10="")),(H10/8.5)*K10,""),0)</f>
        <v>0</v>
      </c>
      <c r="T10" s="347">
        <f t="shared" si="0"/>
        <v>0</v>
      </c>
      <c r="U10" s="347">
        <f t="shared" si="0"/>
        <v>0</v>
      </c>
      <c r="V10" s="347">
        <f t="shared" si="1"/>
        <v>0</v>
      </c>
      <c r="X10" s="336">
        <v>10</v>
      </c>
      <c r="Y10" s="336" t="b">
        <f>IF('Personnel Yr 1'!$J$5&gt;3,IF(OR($N$5&lt;&gt;"Federal - NIH",OR(AND(ISBLANK(I10),ISBLANK(J10),ISBLANK(K10)),AND(I10="",J10="",K10=""))),FALSE,IF(I10&gt;0,H10&gt;NIHSalaryCap,H10&gt;(NIHSalaryCap*8.5)/12)),FALSE)</f>
        <v>0</v>
      </c>
    </row>
    <row r="11" spans="1:25" x14ac:dyDescent="0.2">
      <c r="A11" s="5">
        <v>5</v>
      </c>
      <c r="B11" s="6" t="str">
        <f>IF('Personnel Yr 1'!$J$5&gt;3,IF(NOT(OR(ISBLANK('Personnel Yr 3'!B11),'Personnel Yr 3'!B11="")),'Personnel Yr 3'!B11,""),"")</f>
        <v/>
      </c>
      <c r="C11" s="22" t="str">
        <f>IF('Personnel Yr 1'!$J$5&gt;3,IF(ISBLANK('Personnel Yr 3'!C11),"",'Personnel Yr 3'!C11),"")</f>
        <v/>
      </c>
      <c r="D11" s="22" t="str">
        <f>IF('Personnel Yr 1'!$J$5&gt;3,IF(ISBLANK('Personnel Yr 3'!D11),"",'Personnel Yr 3'!D11),"")</f>
        <v/>
      </c>
      <c r="E11" s="22" t="str">
        <f>IF('Personnel Yr 1'!$J$5&gt;3,IF(ISBLANK('Personnel Yr 3'!E11),"",'Personnel Yr 3'!E11),"")</f>
        <v/>
      </c>
      <c r="F11" s="22" t="str">
        <f>IF('Personnel Yr 1'!$J$5&gt;3,IF(ISBLANK('Personnel Yr 3'!F11),"",'Personnel Yr 3'!F11),"")</f>
        <v/>
      </c>
      <c r="G11" s="22" t="str">
        <f>IF('Personnel Yr 1'!$J$5&gt;3,IF(ISBLANK('Personnel Yr 3'!G11),"",'Personnel Yr 3'!G11),"")</f>
        <v/>
      </c>
      <c r="H11" s="42" t="str">
        <f>IF('Personnel Yr 1'!$J$5&gt;3,IF(NOT(OR(ISBLANK('Personnel Yr 3'!H11),'Personnel Yr 3'!H11="")),(('Personnel Yr 3'!H11*'Personnel Yr 1'!$D$5)+'Personnel Yr 3'!H11),""),"")</f>
        <v/>
      </c>
      <c r="I11" s="22" t="str">
        <f>IF('Personnel Yr 1'!$J$5&gt;3,IF(AND(OR(ISBLANK(H11),H11=""),ISBLANK('Personnel Yr 3'!I11)),"",'Personnel Yr 3'!I11),"")</f>
        <v/>
      </c>
      <c r="J11" s="22" t="str">
        <f>IF('Personnel Yr 1'!$J$5&gt;3,IF(AND(OR(ISBLANK(I11),I11=""),ISBLANK('Personnel Yr 3'!J11)),"",'Personnel Yr 3'!J11),"")</f>
        <v/>
      </c>
      <c r="K11" s="22" t="str">
        <f>IF('Personnel Yr 1'!$J$5&gt;3,IF(AND(OR(ISBLANK(J11),J11=""),ISBLANK('Personnel Yr 3'!K11)),"",'Personnel Yr 3'!K11),"")</f>
        <v/>
      </c>
      <c r="L11" s="44" t="str">
        <f>IF('Personnel Yr 1'!$J$5&gt;3,IF(NOT(OR(ISBLANK(H11),H11="")),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1'!$J$5&gt;3,IF(OR(ISBLANK(L11),L11=""),"",ROUND(SUM(T11:V11),2)),"")</f>
        <v/>
      </c>
      <c r="N11" s="51" t="str">
        <f>IF('Personnel Yr 1'!$J$5&gt;3,IF(OR(ISBLANK(M11),M11=""),"",ROUND(SUM(L11:M11),2)),"")</f>
        <v/>
      </c>
      <c r="O11" s="159"/>
      <c r="P11" s="336">
        <f>IF('Personnel Yr 1'!$J$5&gt;3,IF(NOT(OR(ISBLANK(I11),I11="")),(H11/12)*I11,""),0)</f>
        <v>0</v>
      </c>
      <c r="Q11" s="336">
        <f>IF('Personnel Yr 1'!$J$5&gt;3,IF(NOT(OR(ISBLANK(J11),J11="")),(H11/8.5)*J11,""),0)</f>
        <v>0</v>
      </c>
      <c r="R11" s="336">
        <f>IF('Personnel Yr 1'!$J$5&gt;3,IF(NOT(OR(ISBLANK(K11),K11="")),(H11/8.5)*K11,""),0)</f>
        <v>0</v>
      </c>
      <c r="T11" s="347">
        <f t="shared" si="0"/>
        <v>0</v>
      </c>
      <c r="U11" s="347">
        <f t="shared" si="0"/>
        <v>0</v>
      </c>
      <c r="V11" s="347">
        <f t="shared" si="1"/>
        <v>0</v>
      </c>
      <c r="X11" s="336">
        <v>11</v>
      </c>
      <c r="Y11" s="336" t="b">
        <f>IF('Personnel Yr 1'!$J$5&gt;3,IF(OR($N$5&lt;&gt;"Federal - NIH",OR(AND(ISBLANK(I11),ISBLANK(J11),ISBLANK(K11)),AND(I11="",J11="",K11=""))),FALSE,IF(I11&gt;0,H11&gt;NIHSalaryCap,H11&gt;(NIHSalaryCap*8.5)/12)),FALSE)</f>
        <v>0</v>
      </c>
    </row>
    <row r="12" spans="1:25" x14ac:dyDescent="0.2">
      <c r="A12" s="5">
        <v>6</v>
      </c>
      <c r="B12" s="6" t="str">
        <f>IF('Personnel Yr 1'!$J$5&gt;3,IF(NOT(OR(ISBLANK('Personnel Yr 3'!B12),'Personnel Yr 3'!B12="")),'Personnel Yr 3'!B12,""),"")</f>
        <v/>
      </c>
      <c r="C12" s="22" t="str">
        <f>IF('Personnel Yr 1'!$J$5&gt;3,IF(ISBLANK('Personnel Yr 3'!C12),"",'Personnel Yr 3'!C12),"")</f>
        <v/>
      </c>
      <c r="D12" s="22" t="str">
        <f>IF('Personnel Yr 1'!$J$5&gt;3,IF(ISBLANK('Personnel Yr 3'!D12),"",'Personnel Yr 3'!D12),"")</f>
        <v/>
      </c>
      <c r="E12" s="22" t="str">
        <f>IF('Personnel Yr 1'!$J$5&gt;3,IF(ISBLANK('Personnel Yr 3'!E12),"",'Personnel Yr 3'!E12),"")</f>
        <v/>
      </c>
      <c r="F12" s="22" t="str">
        <f>IF('Personnel Yr 1'!$J$5&gt;3,IF(ISBLANK('Personnel Yr 3'!F12),"",'Personnel Yr 3'!F12),"")</f>
        <v/>
      </c>
      <c r="G12" s="22" t="str">
        <f>IF('Personnel Yr 1'!$J$5&gt;3,IF(ISBLANK('Personnel Yr 3'!G12),"",'Personnel Yr 3'!G12),"")</f>
        <v/>
      </c>
      <c r="H12" s="42" t="str">
        <f>IF('Personnel Yr 1'!$J$5&gt;3,IF(NOT(OR(ISBLANK('Personnel Yr 3'!H12),'Personnel Yr 3'!H12="")),(('Personnel Yr 3'!H12*'Personnel Yr 1'!$D$5)+'Personnel Yr 3'!H12),""),"")</f>
        <v/>
      </c>
      <c r="I12" s="22" t="str">
        <f>IF('Personnel Yr 1'!$J$5&gt;3,IF(AND(OR(ISBLANK(H12),H12=""),ISBLANK('Personnel Yr 3'!I12)),"",'Personnel Yr 3'!I12),"")</f>
        <v/>
      </c>
      <c r="J12" s="22" t="str">
        <f>IF('Personnel Yr 1'!$J$5&gt;3,IF(AND(OR(ISBLANK(I12),I12=""),ISBLANK('Personnel Yr 3'!J12)),"",'Personnel Yr 3'!J12),"")</f>
        <v/>
      </c>
      <c r="K12" s="22" t="str">
        <f>IF('Personnel Yr 1'!$J$5&gt;3,IF(AND(OR(ISBLANK(J12),J12=""),ISBLANK('Personnel Yr 3'!K12)),"",'Personnel Yr 3'!K12),"")</f>
        <v/>
      </c>
      <c r="L12" s="44" t="str">
        <f>IF('Personnel Yr 1'!$J$5&gt;3,IF(NOT(OR(ISBLANK(H12),H12="")),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1'!$J$5&gt;3,IF(OR(ISBLANK(L12),L12=""),"",ROUND(SUM(T12:V12),2)),"")</f>
        <v/>
      </c>
      <c r="N12" s="51" t="str">
        <f>IF('Personnel Yr 1'!$J$5&gt;3,IF(OR(ISBLANK(M12),M12=""),"",ROUND(SUM(L12:M12),2)),"")</f>
        <v/>
      </c>
      <c r="O12" s="159"/>
      <c r="P12" s="336">
        <f>IF('Personnel Yr 1'!$J$5&gt;3,IF(NOT(OR(ISBLANK(I12),I12="")),(H12/12)*I12,""),0)</f>
        <v>0</v>
      </c>
      <c r="Q12" s="336">
        <f>IF('Personnel Yr 1'!$J$5&gt;3,IF(NOT(OR(ISBLANK(J12),J12="")),(H12/8.5)*J12,""),0)</f>
        <v>0</v>
      </c>
      <c r="R12" s="336">
        <f>IF('Personnel Yr 1'!$J$5&gt;3,IF(NOT(OR(ISBLANK(K12),K12="")),(H12/8.5)*K12,""),0)</f>
        <v>0</v>
      </c>
      <c r="T12" s="347">
        <f t="shared" si="0"/>
        <v>0</v>
      </c>
      <c r="U12" s="347">
        <f t="shared" si="0"/>
        <v>0</v>
      </c>
      <c r="V12" s="347">
        <f t="shared" si="1"/>
        <v>0</v>
      </c>
      <c r="X12" s="336">
        <v>12</v>
      </c>
      <c r="Y12" s="336" t="b">
        <f>IF('Personnel Yr 1'!$J$5&gt;3,IF(OR($N$5&lt;&gt;"Federal - NIH",OR(AND(ISBLANK(I12),ISBLANK(J12),ISBLANK(K12)),AND(I12="",J12="",K12=""))),FALSE,IF(I12&gt;0,H12&gt;NIHSalaryCap,H12&gt;(NIHSalaryCap*8.5)/12)),FALSE)</f>
        <v>0</v>
      </c>
    </row>
    <row r="13" spans="1:25" x14ac:dyDescent="0.2">
      <c r="A13" s="5">
        <v>7</v>
      </c>
      <c r="B13" s="6" t="str">
        <f>IF('Personnel Yr 1'!$J$5&gt;3,IF(NOT(OR(ISBLANK('Personnel Yr 3'!B13),'Personnel Yr 3'!B13="")),'Personnel Yr 3'!B13,""),"")</f>
        <v/>
      </c>
      <c r="C13" s="22" t="str">
        <f>IF('Personnel Yr 1'!$J$5&gt;3,IF(ISBLANK('Personnel Yr 3'!C13),"",'Personnel Yr 3'!C13),"")</f>
        <v/>
      </c>
      <c r="D13" s="22" t="str">
        <f>IF('Personnel Yr 1'!$J$5&gt;3,IF(ISBLANK('Personnel Yr 3'!D13),"",'Personnel Yr 3'!D13),"")</f>
        <v/>
      </c>
      <c r="E13" s="22" t="str">
        <f>IF('Personnel Yr 1'!$J$5&gt;3,IF(ISBLANK('Personnel Yr 3'!E13),"",'Personnel Yr 3'!E13),"")</f>
        <v/>
      </c>
      <c r="F13" s="22" t="str">
        <f>IF('Personnel Yr 1'!$J$5&gt;3,IF(ISBLANK('Personnel Yr 3'!F13),"",'Personnel Yr 3'!F13),"")</f>
        <v/>
      </c>
      <c r="G13" s="22" t="str">
        <f>IF('Personnel Yr 1'!$J$5&gt;3,IF(ISBLANK('Personnel Yr 3'!G13),"",'Personnel Yr 3'!G13),"")</f>
        <v/>
      </c>
      <c r="H13" s="42" t="str">
        <f>IF('Personnel Yr 1'!$J$5&gt;3,IF(NOT(OR(ISBLANK('Personnel Yr 3'!H13),'Personnel Yr 3'!H13="")),(('Personnel Yr 3'!H13*'Personnel Yr 1'!$D$5)+'Personnel Yr 3'!H13),""),"")</f>
        <v/>
      </c>
      <c r="I13" s="22" t="str">
        <f>IF('Personnel Yr 1'!$J$5&gt;3,IF(AND(OR(ISBLANK(H13),H13=""),ISBLANK('Personnel Yr 3'!I13)),"",'Personnel Yr 3'!I13),"")</f>
        <v/>
      </c>
      <c r="J13" s="22" t="str">
        <f>IF('Personnel Yr 1'!$J$5&gt;3,IF(AND(OR(ISBLANK(I13),I13=""),ISBLANK('Personnel Yr 3'!J13)),"",'Personnel Yr 3'!J13),"")</f>
        <v/>
      </c>
      <c r="K13" s="22" t="str">
        <f>IF('Personnel Yr 1'!$J$5&gt;3,IF(AND(OR(ISBLANK(J13),J13=""),ISBLANK('Personnel Yr 3'!K13)),"",'Personnel Yr 3'!K13),"")</f>
        <v/>
      </c>
      <c r="L13" s="44" t="str">
        <f>IF('Personnel Yr 1'!$J$5&gt;3,IF(NOT(OR(ISBLANK(H13),H13="")),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1'!$J$5&gt;3,IF(OR(ISBLANK(L13),L13=""),"",ROUND(SUM(T13:V13),2)),"")</f>
        <v/>
      </c>
      <c r="N13" s="51" t="str">
        <f>IF('Personnel Yr 1'!$J$5&gt;3,IF(OR(ISBLANK(M13),M13=""),"",ROUND(SUM(L13:M13),2)),"")</f>
        <v/>
      </c>
      <c r="O13" s="157"/>
      <c r="P13" s="336">
        <f>IF('Personnel Yr 1'!$J$5&gt;3,IF(NOT(OR(ISBLANK(I13),I13="")),(H13/12)*I13,""),0)</f>
        <v>0</v>
      </c>
      <c r="Q13" s="336">
        <f>IF('Personnel Yr 1'!$J$5&gt;3,IF(NOT(OR(ISBLANK(J13),J13="")),(H13/8.5)*J13,""),0)</f>
        <v>0</v>
      </c>
      <c r="R13" s="336">
        <f>IF('Personnel Yr 1'!$J$5&gt;3,IF(NOT(OR(ISBLANK(K13),K13="")),(H13/8.5)*K13,""),0)</f>
        <v>0</v>
      </c>
      <c r="T13" s="347">
        <f t="shared" si="0"/>
        <v>0</v>
      </c>
      <c r="U13" s="347">
        <f t="shared" si="0"/>
        <v>0</v>
      </c>
      <c r="V13" s="347">
        <f t="shared" si="1"/>
        <v>0</v>
      </c>
      <c r="X13" s="336">
        <v>13</v>
      </c>
      <c r="Y13" s="336" t="b">
        <f>IF('Personnel Yr 1'!$J$5&gt;3,IF(OR($N$5&lt;&gt;"Federal - NIH",OR(AND(ISBLANK(I13),ISBLANK(J13),ISBLANK(K13)),AND(I13="",J13="",K13=""))),FALSE,IF(I13&gt;0,H13&gt;NIHSalaryCap,H13&gt;(NIHSalaryCap*8.5)/12)),FALSE)</f>
        <v>0</v>
      </c>
    </row>
    <row r="14" spans="1:25" ht="13.5" thickBot="1" x14ac:dyDescent="0.25">
      <c r="A14" s="5">
        <v>8</v>
      </c>
      <c r="B14" s="7" t="str">
        <f>IF('Personnel Yr 1'!$J$5&gt;3,IF(NOT(OR(ISBLANK('Personnel Yr 3'!B14),'Personnel Yr 3'!B14="")),'Personnel Yr 3'!B14,""),"")</f>
        <v/>
      </c>
      <c r="C14" s="29" t="str">
        <f>IF('Personnel Yr 1'!$J$5&gt;3,IF(ISBLANK('Personnel Yr 3'!C14),"",'Personnel Yr 3'!C14),"")</f>
        <v/>
      </c>
      <c r="D14" s="29" t="str">
        <f>IF('Personnel Yr 1'!$J$5&gt;3,IF(ISBLANK('Personnel Yr 3'!D14),"",'Personnel Yr 3'!D14),"")</f>
        <v/>
      </c>
      <c r="E14" s="29" t="str">
        <f>IF('Personnel Yr 1'!$J$5&gt;3,IF(ISBLANK('Personnel Yr 3'!E14),"",'Personnel Yr 3'!E14),"")</f>
        <v/>
      </c>
      <c r="F14" s="29" t="str">
        <f>IF('Personnel Yr 1'!$J$5&gt;3,IF(ISBLANK('Personnel Yr 3'!F14),"",'Personnel Yr 3'!F14),"")</f>
        <v/>
      </c>
      <c r="G14" s="29" t="str">
        <f>IF('Personnel Yr 1'!$J$5&gt;3,IF(ISBLANK('Personnel Yr 3'!G14),"",'Personnel Yr 3'!G14),"")</f>
        <v/>
      </c>
      <c r="H14" s="43" t="str">
        <f>IF('Personnel Yr 1'!$J$5&gt;3,IF(NOT(OR(ISBLANK('Personnel Yr 3'!H14),'Personnel Yr 3'!H14="")),(('Personnel Yr 3'!H14*'Personnel Yr 1'!$D$5)+'Personnel Yr 3'!H14),""),"")</f>
        <v/>
      </c>
      <c r="I14" s="29" t="str">
        <f>IF('Personnel Yr 1'!$J$5&gt;3,IF(AND(OR(ISBLANK(H14),H14=""),ISBLANK('Personnel Yr 3'!I14)),"",'Personnel Yr 3'!I14),"")</f>
        <v/>
      </c>
      <c r="J14" s="29" t="str">
        <f>IF('Personnel Yr 1'!$J$5&gt;3,IF(AND(OR(ISBLANK(I14),I14=""),ISBLANK('Personnel Yr 3'!J14)),"",'Personnel Yr 3'!J14),"")</f>
        <v/>
      </c>
      <c r="K14" s="29" t="str">
        <f>IF('Personnel Yr 1'!$J$5&gt;3,IF(AND(OR(ISBLANK(J14),J14=""),ISBLANK('Personnel Yr 3'!K14)),"",'Personnel Yr 3'!K14),"")</f>
        <v/>
      </c>
      <c r="L14" s="52" t="str">
        <f>IF('Personnel Yr 1'!$J$5&gt;3,IF(NOT(OR(ISBLANK(H14),H14="")),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1'!$J$5&gt;3,IF(OR(ISBLANK(L14),L14=""),"",ROUND(SUM(T14:V14),2)),"")</f>
        <v/>
      </c>
      <c r="N14" s="50" t="str">
        <f>IF('Personnel Yr 1'!$J$5&gt;3,IF(OR(ISBLANK(M14),M14=""),"",ROUND(SUM(L14:M14),2)),"")</f>
        <v/>
      </c>
      <c r="O14" s="161"/>
      <c r="P14" s="336">
        <f>IF('Personnel Yr 1'!$J$5&gt;3,IF(NOT(OR(ISBLANK(I14),I14="")),(H14/12)*I14,""),0)</f>
        <v>0</v>
      </c>
      <c r="Q14" s="336">
        <f>IF('Personnel Yr 1'!$J$5&gt;3,IF(NOT(OR(ISBLANK(J14),J14="")),(H14/8.5)*J14,""),0)</f>
        <v>0</v>
      </c>
      <c r="R14" s="336">
        <f>IF('Personnel Yr 1'!$J$5&gt;3,IF(NOT(OR(ISBLANK(K14),K14="")),(H14/8.5)*K14,""),0)</f>
        <v>0</v>
      </c>
      <c r="T14" s="347">
        <f t="shared" si="0"/>
        <v>0</v>
      </c>
      <c r="U14" s="347">
        <f t="shared" si="0"/>
        <v>0</v>
      </c>
      <c r="V14" s="347">
        <f t="shared" si="1"/>
        <v>0</v>
      </c>
      <c r="X14" s="336">
        <v>14</v>
      </c>
      <c r="Y14" s="336" t="b">
        <f>IF('Personnel Yr 1'!$J$5&gt;3,IF(OR($N$5&lt;&gt;"Federal - NIH",OR(AND(ISBLANK(I14),ISBLANK(J14),ISBLANK(K14)),AND(I14="",J14="",K14=""))),FALSE,IF(I14&gt;0,H14&gt;NIHSalaryCap,H14&gt;(NIHSalaryCap*8.5)/12)),FALSE)</f>
        <v>0</v>
      </c>
    </row>
    <row r="15" spans="1:25" ht="13.5" thickBot="1" x14ac:dyDescent="0.25">
      <c r="A15" s="5">
        <v>9</v>
      </c>
      <c r="B15" s="27">
        <f>B59</f>
        <v>0</v>
      </c>
      <c r="C15" s="563" t="s">
        <v>52</v>
      </c>
      <c r="D15" s="563"/>
      <c r="E15" s="563"/>
      <c r="F15" s="563"/>
      <c r="G15" s="573" t="s">
        <v>63</v>
      </c>
      <c r="H15" s="573"/>
      <c r="I15" s="573"/>
      <c r="J15" s="573"/>
      <c r="K15" s="573"/>
      <c r="L15" s="573"/>
      <c r="M15" s="574"/>
      <c r="N15" s="56">
        <f>N59</f>
        <v>0</v>
      </c>
      <c r="P15" s="336">
        <f>SUM(P7:P14)</f>
        <v>0</v>
      </c>
      <c r="Q15" s="336">
        <f t="shared" ref="Q15:V15" si="2">SUM(Q7:Q14)</f>
        <v>0</v>
      </c>
      <c r="R15" s="336">
        <f t="shared" si="2"/>
        <v>0</v>
      </c>
      <c r="T15" s="336">
        <f t="shared" si="2"/>
        <v>0</v>
      </c>
      <c r="U15" s="336">
        <f t="shared" si="2"/>
        <v>0</v>
      </c>
      <c r="V15" s="336">
        <f t="shared" si="2"/>
        <v>0</v>
      </c>
    </row>
    <row r="16" spans="1:25" ht="13.5" thickBot="1" x14ac:dyDescent="0.25">
      <c r="B16" s="27">
        <f>SUM(ROWS(E7:E14)-COUNTIF(E7:E14,""),B15)</f>
        <v>0</v>
      </c>
      <c r="C16" s="569" t="s">
        <v>51</v>
      </c>
      <c r="D16" s="570"/>
      <c r="E16" s="570"/>
      <c r="F16" s="570"/>
      <c r="G16" s="9"/>
      <c r="H16" s="10"/>
      <c r="I16" s="10"/>
      <c r="J16" s="571" t="s">
        <v>34</v>
      </c>
      <c r="K16" s="571"/>
      <c r="L16" s="571"/>
      <c r="M16" s="572"/>
      <c r="N16" s="48">
        <f>SUM(N7:N15)</f>
        <v>0</v>
      </c>
    </row>
    <row r="17" spans="2:25" x14ac:dyDescent="0.2">
      <c r="B17" s="9"/>
      <c r="C17" s="9"/>
      <c r="D17" s="9"/>
      <c r="E17" s="9"/>
      <c r="F17" s="9"/>
      <c r="G17" s="9"/>
      <c r="H17" s="10"/>
      <c r="I17" s="10"/>
      <c r="J17" s="11"/>
      <c r="K17" s="11"/>
      <c r="L17" s="11"/>
      <c r="M17" s="11"/>
      <c r="N17" s="10"/>
    </row>
    <row r="18" spans="2:25" x14ac:dyDescent="0.2">
      <c r="B18" s="9"/>
      <c r="C18" s="9"/>
      <c r="D18" s="9"/>
      <c r="E18" s="9"/>
      <c r="F18" s="9"/>
      <c r="G18" s="9"/>
      <c r="H18" s="9"/>
      <c r="I18" s="9"/>
      <c r="J18" s="11"/>
      <c r="K18" s="11"/>
      <c r="L18" s="11"/>
      <c r="M18" s="11"/>
      <c r="N18" s="9"/>
    </row>
    <row r="19" spans="2:25" x14ac:dyDescent="0.2">
      <c r="B19" s="575" t="s">
        <v>6</v>
      </c>
      <c r="C19" s="575"/>
      <c r="D19" s="576" t="s">
        <v>96</v>
      </c>
      <c r="E19" s="576"/>
      <c r="F19" s="576"/>
      <c r="G19" s="576"/>
      <c r="H19" s="576"/>
      <c r="I19" s="576"/>
      <c r="J19" s="576"/>
      <c r="K19" s="576"/>
    </row>
    <row r="20" spans="2:25"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5" x14ac:dyDescent="0.2">
      <c r="B21" s="16" t="str">
        <f>IF('Personnel Yr 1'!$J$5&gt;3,IF(OR(ISBLANK('Personnel Yr 3'!B21),'Personnel Yr 3'!B21=""),"",'Personnel Yr 3'!B21),"")</f>
        <v/>
      </c>
      <c r="C21" s="578" t="s">
        <v>8</v>
      </c>
      <c r="D21" s="578"/>
      <c r="E21" s="578"/>
      <c r="F21" s="578"/>
      <c r="G21" s="578"/>
      <c r="H21" s="579"/>
      <c r="I21" s="17" t="str">
        <f>IF('Personnel Yr 1'!$J$5&gt;3,IF(OR(ISBLANK('Personnel Yr 3'!I21),'Personnel Yr 3'!I21=""),"",'Personnel Yr 3'!I21),"")</f>
        <v/>
      </c>
      <c r="J21" s="17" t="str">
        <f>IF('Personnel Yr 1'!$J$5&gt;3,IF(OR(ISBLANK('Personnel Yr 3'!J21),'Personnel Yr 3'!J21=""),"",'Personnel Yr 3'!J21),"")</f>
        <v/>
      </c>
      <c r="K21" s="17" t="str">
        <f>IF('Personnel Yr 1'!$J$5&gt;3,IF(OR(ISBLANK('Personnel Yr 3'!K21),'Personnel Yr 3'!K21=""),"",'Personnel Yr 3'!K21),"")</f>
        <v/>
      </c>
      <c r="L21" s="41" t="str">
        <f>IF('Personnel Yr 1'!$J$5&gt;3,IF(NOT(OR(ISBLANK('Personnel Yr 3'!L21),'Personnel Yr 3'!L21="")),(('Personnel Yr 3'!L21*'Personnel Yr 1'!$D$5)+'Personnel Yr 3'!L21),""),"")</f>
        <v/>
      </c>
      <c r="M21" s="49" t="str">
        <f>IF('Personnel Yr 1'!$J$5&gt;3,IF(OR(ISBLANK(L21),L21=""),"",ROUND(L21*LOOKUP("Full",Ben,Per),2)),"")</f>
        <v/>
      </c>
      <c r="N21" s="272" t="str">
        <f>IF('Personnel Yr 1'!$J$5&gt;3,IF(OR(ISBLANK(L21),L21=""),"",ROUND(SUM(L21:M21),2)),"")</f>
        <v/>
      </c>
      <c r="O21" s="162"/>
    </row>
    <row r="22" spans="2:25" x14ac:dyDescent="0.2">
      <c r="B22" s="18" t="str">
        <f>IF('Personnel Yr 1'!$J$5&gt;3,IF(OR(ISBLANK('Personnel Yr 3'!B22),'Personnel Yr 3'!B22=""),"",'Personnel Yr 3'!B22),"")</f>
        <v/>
      </c>
      <c r="C22" s="580" t="s">
        <v>73</v>
      </c>
      <c r="D22" s="581"/>
      <c r="E22" s="581"/>
      <c r="F22" s="581"/>
      <c r="G22" s="581"/>
      <c r="H22" s="583"/>
      <c r="I22" s="19" t="str">
        <f>IF('Personnel Yr 1'!$J$5&gt;3,IF(OR(ISBLANK('Personnel Yr 3'!I22),'Personnel Yr 3'!I22=""),"",'Personnel Yr 3'!I22),"")</f>
        <v/>
      </c>
      <c r="J22" s="19" t="str">
        <f>IF('Personnel Yr 1'!$J$5&gt;3,IF(OR(ISBLANK('Personnel Yr 3'!J22),'Personnel Yr 3'!J22=""),"",'Personnel Yr 3'!J22),"")</f>
        <v/>
      </c>
      <c r="K22" s="19" t="str">
        <f>IF('Personnel Yr 1'!$J$5&gt;3,IF(OR(ISBLANK('Personnel Yr 3'!K22),'Personnel Yr 3'!K22=""),"",'Personnel Yr 3'!K22),"")</f>
        <v/>
      </c>
      <c r="L22" s="53" t="str">
        <f>IF('Personnel Yr 1'!$J$5&gt;3,IF(NOT(OR(ISBLANK('Personnel Yr 3'!L22),'Personnel Yr 3'!L22="")),(('Personnel Yr 3'!L22*'Personnel Yr 1'!$D$5)+'Personnel Yr 3'!L22),""),"")</f>
        <v/>
      </c>
      <c r="M22" s="49" t="str">
        <f>IF('Personnel Yr 1'!$J$5&gt;3,IF(OR(ISBLANK(L22),L22=""),"",ROUND(L22*LOOKUP("Full",Ben,Per),2)),"")</f>
        <v/>
      </c>
      <c r="N22" s="272" t="str">
        <f>IF('Personnel Yr 1'!$J$5&gt;3,IF(OR(ISBLANK(L22),L22=""),"",ROUND(SUM(L22:M22),2)),"")</f>
        <v/>
      </c>
      <c r="O22" s="165"/>
    </row>
    <row r="23" spans="2:25" x14ac:dyDescent="0.2">
      <c r="B23" s="20" t="str">
        <f>IF('Personnel Yr 1'!$J$5&gt;3,IF(OR(ISBLANK('Personnel Yr 3'!B23),'Personnel Yr 3'!B23=""),"",'Personnel Yr 3'!B23),"")</f>
        <v/>
      </c>
      <c r="C23" s="580" t="s">
        <v>9</v>
      </c>
      <c r="D23" s="581"/>
      <c r="E23" s="581"/>
      <c r="F23" s="581"/>
      <c r="G23" s="429"/>
      <c r="H23" s="68" t="str">
        <f>IF('Personnel Yr 1'!$J$5&gt;3,IF(OR(ISBLANK('Personnel Yr 3'!H23),'Personnel Yr 3'!H23=""),"",'Personnel Yr 3'!H23),"")</f>
        <v/>
      </c>
      <c r="I23" s="21" t="str">
        <f>IF('Personnel Yr 1'!$J$5&gt;3,IF(OR(ISBLANK('Personnel Yr 3'!I23),'Personnel Yr 3'!I23=""),"",'Personnel Yr 3'!I23),"")</f>
        <v/>
      </c>
      <c r="J23" s="21" t="str">
        <f>IF('Personnel Yr 1'!$J$5&gt;3,IF(OR(ISBLANK('Personnel Yr 3'!J23),'Personnel Yr 3'!J23=""),"",'Personnel Yr 3'!J23),"")</f>
        <v/>
      </c>
      <c r="K23" s="21" t="str">
        <f>IF('Personnel Yr 1'!$J$5&gt;3,IF(OR(ISBLANK('Personnel Yr 3'!K23),'Personnel Yr 3'!K23=""),"",'Personnel Yr 3'!K23),"")</f>
        <v/>
      </c>
      <c r="L23" s="42" t="str">
        <f>IF('Personnel Yr 1'!$J$5&gt;3,IF(NOT(OR(ISBLANK('Personnel Yr 3'!L23),'Personnel Yr 3'!L23="")),(('Personnel Yr 3'!L23*'Personnel Yr 1'!$D$5)+'Personnel Yr 3'!L23),""),"")</f>
        <v/>
      </c>
      <c r="M23" s="47" t="str">
        <f>IF('Personnel Yr 1'!$J$5&gt;3,IF(OR(ISBLANK(L23),L23=""),"",ROUND(L23*LOOKUP(H23,Grad,GradR),2)),"")</f>
        <v/>
      </c>
      <c r="N23" s="272" t="str">
        <f>IF('Personnel Yr 1'!$J$5&gt;3,IF(OR(ISBLANK(L23),L23=""),"",ROUND(SUM(L23:M23),2)),"")</f>
        <v/>
      </c>
      <c r="O23" s="165"/>
    </row>
    <row r="24" spans="2:25" x14ac:dyDescent="0.2">
      <c r="B24" s="20" t="str">
        <f>IF('Personnel Yr 1'!$J$5&gt;3,IF(OR(ISBLANK('Personnel Yr 3'!B24),'Personnel Yr 3'!B24=""),"",'Personnel Yr 3'!B24),"")</f>
        <v/>
      </c>
      <c r="C24" s="581" t="s">
        <v>10</v>
      </c>
      <c r="D24" s="581"/>
      <c r="E24" s="581"/>
      <c r="F24" s="581"/>
      <c r="G24" s="581"/>
      <c r="H24" s="582"/>
      <c r="I24" s="22" t="str">
        <f>IF('Personnel Yr 1'!$J$5&gt;3,IF(OR(ISBLANK('Personnel Yr 3'!I24),'Personnel Yr 3'!I24=""),"",'Personnel Yr 3'!I24),"")</f>
        <v/>
      </c>
      <c r="J24" s="22" t="str">
        <f>IF('Personnel Yr 1'!$J$5&gt;3,IF(OR(ISBLANK('Personnel Yr 3'!J24),'Personnel Yr 3'!J24=""),"",'Personnel Yr 3'!J24),"")</f>
        <v/>
      </c>
      <c r="K24" s="22" t="str">
        <f>IF('Personnel Yr 1'!$J$5&gt;3,IF(OR(ISBLANK('Personnel Yr 3'!K24),'Personnel Yr 3'!K24=""),"",'Personnel Yr 3'!K24),"")</f>
        <v/>
      </c>
      <c r="L24" s="54" t="str">
        <f>IF('Personnel Yr 1'!$J$5&gt;3,IF(NOT(OR(ISBLANK('Personnel Yr 3'!L24),'Personnel Yr 3'!L24="")),(('Personnel Yr 3'!L24*'Personnel Yr 1'!$D$5)+'Personnel Yr 3'!L24),""),"")</f>
        <v/>
      </c>
      <c r="M24" s="47" t="str">
        <f>IF('Personnel Yr 1'!$J$5&gt;3,IF(OR(ISBLANK(L24),L24=""),"",ROUND(L24*LOOKUP("Temp",Ben,Per),2)),"")</f>
        <v/>
      </c>
      <c r="N24" s="272" t="str">
        <f>IF('Personnel Yr 1'!$J$5&gt;3,IF(OR(ISBLANK(L24),L24=""),"",ROUND(SUM(L24:M24),2)),"")</f>
        <v/>
      </c>
      <c r="O24" s="165"/>
    </row>
    <row r="25" spans="2:25" x14ac:dyDescent="0.2">
      <c r="B25" s="20" t="str">
        <f>IF('Personnel Yr 1'!$J$5&gt;3,IF(OR(ISBLANK('Personnel Yr 3'!B25),'Personnel Yr 3'!B25=""),"",'Personnel Yr 3'!B25),"")</f>
        <v/>
      </c>
      <c r="C25" s="617" t="s">
        <v>504</v>
      </c>
      <c r="D25" s="581"/>
      <c r="E25" s="581"/>
      <c r="F25" s="581"/>
      <c r="G25" s="581"/>
      <c r="H25" s="582"/>
      <c r="I25" s="22" t="str">
        <f>IF('Personnel Yr 1'!$J$5&gt;3,IF(OR(ISBLANK('Personnel Yr 3'!I25),'Personnel Yr 3'!I25=""),"",'Personnel Yr 3'!I25),"")</f>
        <v/>
      </c>
      <c r="J25" s="22" t="str">
        <f>IF('Personnel Yr 1'!$J$5&gt;3,IF(OR(ISBLANK('Personnel Yr 3'!J25),'Personnel Yr 3'!J25=""),"",'Personnel Yr 3'!J25),"")</f>
        <v/>
      </c>
      <c r="K25" s="22" t="str">
        <f>IF('Personnel Yr 1'!$J$5&gt;3,IF(OR(ISBLANK('Personnel Yr 3'!K25),'Personnel Yr 3'!K25=""),"",'Personnel Yr 3'!K25),"")</f>
        <v/>
      </c>
      <c r="L25" s="54" t="str">
        <f>IF('Personnel Yr 1'!$J$5&gt;3,IF(NOT(OR(ISBLANK('Personnel Yr 3'!L25),'Personnel Yr 3'!L25="")),(('Personnel Yr 3'!L25*'Personnel Yr 1'!$D$5)+'Personnel Yr 3'!L25),""),"")</f>
        <v/>
      </c>
      <c r="M25" s="47" t="str">
        <f>IF('Personnel Yr 1'!$J$5&gt;3,IF(OR(ISBLANK(L25),L25=""),"",ROUND(L25*LOOKUP("Full",Ben,Per),2)),"")</f>
        <v/>
      </c>
      <c r="N25" s="272" t="str">
        <f>IF('Personnel Yr 1'!$J$5&gt;3,IF(OR(ISBLANK(L25),L25=""),"",ROUND(SUM(L25:M25),2)),"")</f>
        <v/>
      </c>
      <c r="O25" s="165"/>
    </row>
    <row r="26" spans="2:25" x14ac:dyDescent="0.2">
      <c r="B26" s="20" t="str">
        <f>IF('Personnel Yr 1'!$J$5&gt;3,IF(OR(ISBLANK('Personnel Yr 3'!B26),'Personnel Yr 3'!B26=""),"",'Personnel Yr 3'!B26),"")</f>
        <v/>
      </c>
      <c r="C26" s="581" t="s">
        <v>72</v>
      </c>
      <c r="D26" s="581"/>
      <c r="E26" s="581"/>
      <c r="F26" s="581"/>
      <c r="G26" s="581"/>
      <c r="H26" s="582"/>
      <c r="I26" s="22" t="str">
        <f>IF('Personnel Yr 1'!$J$5&gt;3,IF(OR(ISBLANK('Personnel Yr 3'!I26),'Personnel Yr 3'!I26=""),"",'Personnel Yr 3'!I26),"")</f>
        <v/>
      </c>
      <c r="J26" s="22" t="str">
        <f>IF('Personnel Yr 1'!$J$5&gt;3,IF(OR(ISBLANK('Personnel Yr 3'!J26),'Personnel Yr 3'!J26=""),"",'Personnel Yr 3'!J26),"")</f>
        <v/>
      </c>
      <c r="K26" s="22" t="str">
        <f>IF('Personnel Yr 1'!$J$5&gt;3,IF(OR(ISBLANK('Personnel Yr 3'!K26),'Personnel Yr 3'!K26=""),"",'Personnel Yr 3'!K26),"")</f>
        <v/>
      </c>
      <c r="L26" s="54" t="str">
        <f>IF('Personnel Yr 1'!$J$5&gt;3,IF(NOT(OR(ISBLANK('Personnel Yr 3'!L26),'Personnel Yr 3'!L26="")),(('Personnel Yr 3'!L26*'Personnel Yr 1'!$D$5)+'Personnel Yr 3'!L26),""),"")</f>
        <v/>
      </c>
      <c r="M26" s="44" t="str">
        <f>IF('Personnel Yr 1'!$J$5&gt;3,IF(OR(ISBLANK(L26),L26=""),"",ROUND(L26*LOOKUP("Temp",Ben,Per),2)),"")</f>
        <v/>
      </c>
      <c r="N26" s="273" t="str">
        <f>IF('Personnel Yr 1'!$J$5&gt;3,IF(OR(ISBLANK(L26),L26=""),"",ROUND(SUM(L26:M26),2)),"")</f>
        <v/>
      </c>
      <c r="O26" s="20"/>
    </row>
    <row r="27" spans="2:25" s="257" customFormat="1" x14ac:dyDescent="0.2">
      <c r="B27" s="20"/>
      <c r="C27" s="589" t="s">
        <v>421</v>
      </c>
      <c r="D27" s="588"/>
      <c r="E27" s="588"/>
      <c r="F27" s="588"/>
      <c r="G27" s="588"/>
      <c r="H27" s="588"/>
      <c r="I27" s="22"/>
      <c r="J27" s="22"/>
      <c r="K27" s="22"/>
      <c r="L27" s="54" t="str">
        <f>IF('Personnel Yr 1'!$J$5&gt;3,IF(NOT(OR(ISBLANK('Personnel Yr 3'!L27),'Personnel Yr 3'!L27="")),(('Personnel Yr 3'!L27*'Personnel Yr 1'!$D$5)+'Personnel Yr 3'!L27),""),"")</f>
        <v/>
      </c>
      <c r="M27" s="44" t="str">
        <f>IF('Personnel Yr 1'!$J$5&gt;3,IF(OR(ISBLANK(L27),L27=""),"",ROUND(L27*LOOKUP("Temp",Ben,Per),2)),"")</f>
        <v/>
      </c>
      <c r="N27" s="273" t="str">
        <f>IF('Personnel Yr 1'!$J$5&gt;3,IF(OR(ISBLANK(L27),L27=""),"",ROUND(SUM(L27:M27),2)),"")</f>
        <v/>
      </c>
      <c r="O27" s="20"/>
      <c r="P27" s="336"/>
      <c r="Q27" s="336"/>
      <c r="R27" s="336"/>
      <c r="S27" s="336"/>
      <c r="T27" s="336"/>
      <c r="U27" s="336"/>
      <c r="V27" s="336"/>
      <c r="W27" s="336"/>
      <c r="X27" s="336"/>
      <c r="Y27" s="336"/>
    </row>
    <row r="28" spans="2:25" s="257" customFormat="1" ht="13.5" thickBot="1" x14ac:dyDescent="0.25">
      <c r="B28" s="164"/>
      <c r="C28" s="590" t="s">
        <v>422</v>
      </c>
      <c r="D28" s="591"/>
      <c r="E28" s="591"/>
      <c r="F28" s="591"/>
      <c r="G28" s="591"/>
      <c r="H28" s="591"/>
      <c r="I28" s="29"/>
      <c r="J28" s="29"/>
      <c r="K28" s="29"/>
      <c r="L28" s="54" t="str">
        <f>IF('Personnel Yr 1'!$J$5&gt;3,IF(NOT(OR(ISBLANK('Personnel Yr 3'!L28),'Personnel Yr 3'!L28="")),(('Personnel Yr 3'!L28*'Personnel Yr 1'!$D$5)+'Personnel Yr 3'!L28),""),"")</f>
        <v/>
      </c>
      <c r="M28" s="52" t="str">
        <f>IF('Personnel Yr 1'!$J$5&gt;3,IF(OR(ISBLANK(L28),L28=""),"",ROUND(L28*LOOKUP("Adjunct",Ben,Per),2)),"")</f>
        <v/>
      </c>
      <c r="N28" s="274" t="str">
        <f>IF('Personnel Yr 1'!$J$5&gt;3,IF(OR(ISBLANK(L28),L28=""),"",ROUND(SUM(L28:M28),2)),"")</f>
        <v/>
      </c>
      <c r="O28" s="164"/>
      <c r="P28" s="336"/>
      <c r="Q28" s="336"/>
      <c r="R28" s="336"/>
      <c r="S28" s="336"/>
      <c r="T28" s="336"/>
      <c r="U28" s="336"/>
      <c r="V28" s="336"/>
      <c r="W28" s="336"/>
      <c r="X28" s="336"/>
      <c r="Y28" s="336"/>
    </row>
    <row r="29" spans="2:25" ht="13.5" thickBot="1" x14ac:dyDescent="0.25">
      <c r="B29" s="27">
        <f>SUM(B21:B26)</f>
        <v>0</v>
      </c>
      <c r="C29" s="618" t="s">
        <v>11</v>
      </c>
      <c r="D29" s="563"/>
      <c r="E29" s="563"/>
      <c r="F29" s="563"/>
      <c r="G29" s="23"/>
      <c r="H29" s="23"/>
      <c r="I29" s="573" t="s">
        <v>12</v>
      </c>
      <c r="J29" s="619"/>
      <c r="K29" s="619"/>
      <c r="L29" s="619"/>
      <c r="M29" s="620"/>
      <c r="N29" s="56">
        <f>ROUND(SUM(N21:N28),2)</f>
        <v>0</v>
      </c>
    </row>
    <row r="30" spans="2:25" ht="13.5" thickBot="1" x14ac:dyDescent="0.25">
      <c r="B30" s="9"/>
      <c r="C30" s="24"/>
      <c r="D30" s="24"/>
      <c r="E30" s="24"/>
      <c r="F30" s="24"/>
      <c r="G30" s="24"/>
      <c r="H30" s="25"/>
      <c r="I30" s="571" t="s">
        <v>13</v>
      </c>
      <c r="J30" s="571"/>
      <c r="K30" s="571"/>
      <c r="L30" s="571"/>
      <c r="M30" s="572"/>
      <c r="N30" s="48">
        <f>ROUND(SUM(N16,N29),2)</f>
        <v>0</v>
      </c>
    </row>
    <row r="32" spans="2:25" ht="13.5" thickBot="1" x14ac:dyDescent="0.25"/>
    <row r="33" spans="1:25" ht="12.75" customHeight="1" x14ac:dyDescent="0.2">
      <c r="G33" s="336" t="s">
        <v>461</v>
      </c>
      <c r="H33" s="555" t="s">
        <v>235</v>
      </c>
      <c r="I33" s="556"/>
      <c r="J33" s="556"/>
      <c r="K33" s="556"/>
      <c r="L33" s="557"/>
    </row>
    <row r="34" spans="1:25" ht="12.75" customHeight="1" thickBot="1" x14ac:dyDescent="0.25">
      <c r="G34" s="336" t="b">
        <f>IFERROR(OR(AND('Personnel Yr 1'!N5="Federal - NIH",SUM('Non-personnel'!$J$41,$N$23)/$B$23&lt;=NIHGradLimit),'Personnel Yr 1'!N5&lt;&gt;"Federal - NIH"),TRUE)</f>
        <v>1</v>
      </c>
      <c r="H34" s="558"/>
      <c r="I34" s="559"/>
      <c r="J34" s="559"/>
      <c r="K34" s="559"/>
      <c r="L34" s="560"/>
    </row>
    <row r="35" spans="1:25" ht="12.75" customHeight="1" x14ac:dyDescent="0.2">
      <c r="G35" s="336" t="e">
        <f>SUM('Non-personnel'!$N$41,$N$23)/$B$23</f>
        <v>#VALUE!</v>
      </c>
      <c r="H35" s="546" t="s">
        <v>240</v>
      </c>
      <c r="I35" s="609"/>
      <c r="J35" s="609"/>
      <c r="K35" s="609"/>
      <c r="L35" s="610"/>
    </row>
    <row r="36" spans="1:25" ht="12.75" customHeight="1" x14ac:dyDescent="0.2">
      <c r="H36" s="611"/>
      <c r="I36" s="612"/>
      <c r="J36" s="612"/>
      <c r="K36" s="612"/>
      <c r="L36" s="613"/>
    </row>
    <row r="37" spans="1:25" ht="12.75" customHeight="1" x14ac:dyDescent="0.2">
      <c r="H37" s="611"/>
      <c r="I37" s="612"/>
      <c r="J37" s="612"/>
      <c r="K37" s="612"/>
      <c r="L37" s="613"/>
    </row>
    <row r="38" spans="1:25" ht="12.75" customHeight="1" x14ac:dyDescent="0.2">
      <c r="H38" s="611"/>
      <c r="I38" s="612"/>
      <c r="J38" s="612"/>
      <c r="K38" s="612"/>
      <c r="L38" s="613"/>
    </row>
    <row r="39" spans="1:25" ht="12.75" customHeight="1" thickBot="1" x14ac:dyDescent="0.25">
      <c r="H39" s="614"/>
      <c r="I39" s="615"/>
      <c r="J39" s="615"/>
      <c r="K39" s="615"/>
      <c r="L39" s="616"/>
    </row>
    <row r="40" spans="1:25" ht="12.75" customHeight="1" thickBot="1" x14ac:dyDescent="0.25">
      <c r="H40" s="174" t="s">
        <v>236</v>
      </c>
      <c r="I40" s="167"/>
      <c r="J40" s="173" t="s">
        <v>237</v>
      </c>
      <c r="K40" s="173" t="s">
        <v>238</v>
      </c>
      <c r="L40" s="172" t="s">
        <v>239</v>
      </c>
    </row>
    <row r="41" spans="1:25" ht="12.75" customHeight="1" thickBot="1" x14ac:dyDescent="0.25">
      <c r="H41" s="168">
        <v>0</v>
      </c>
      <c r="I41" s="169"/>
      <c r="J41" s="170">
        <f>H41*12</f>
        <v>0</v>
      </c>
      <c r="K41" s="170">
        <f>H41*8.5</f>
        <v>0</v>
      </c>
      <c r="L41" s="171">
        <f>H41*3.5</f>
        <v>0</v>
      </c>
    </row>
    <row r="42" spans="1:25" x14ac:dyDescent="0.2">
      <c r="B42" s="545" t="s">
        <v>242</v>
      </c>
      <c r="C42" s="545"/>
      <c r="D42" s="545"/>
    </row>
    <row r="43" spans="1:25" ht="26.25"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T43" s="335" t="s">
        <v>66</v>
      </c>
      <c r="U43" s="335" t="s">
        <v>67</v>
      </c>
      <c r="V43" s="335" t="s">
        <v>68</v>
      </c>
      <c r="Y43" s="336" t="s">
        <v>464</v>
      </c>
    </row>
    <row r="44" spans="1:25" x14ac:dyDescent="0.2">
      <c r="A44" s="5">
        <v>1</v>
      </c>
      <c r="B44" s="28" t="str">
        <f>IF('Personnel Yr 1'!$J$5&gt;3,IF(NOT(OR(ISBLANK('Personnel Yr 3'!B44),'Personnel Yr 3'!B44="")),'Personnel Yr 3'!B44,""),"")</f>
        <v/>
      </c>
      <c r="C44" s="17" t="str">
        <f>IF('Personnel Yr 1'!$J$5&gt;3,IF(ISBLANK('Personnel Yr 3'!C44),"",'Personnel Yr 3'!C44),"")</f>
        <v/>
      </c>
      <c r="D44" s="17" t="str">
        <f>IF('Personnel Yr 1'!$J$5&gt;3,IF(ISBLANK('Personnel Yr 3'!D44),"",'Personnel Yr 3'!D44),"")</f>
        <v/>
      </c>
      <c r="E44" s="183" t="str">
        <f>IF('Personnel Yr 1'!$J$5&gt;3,IF(ISBLANK('Personnel Yr 3'!E44),"",'Personnel Yr 3'!E44),"")</f>
        <v/>
      </c>
      <c r="F44" s="17" t="str">
        <f>IF('Personnel Yr 1'!$J$5&gt;3,IF(ISBLANK('Personnel Yr 3'!F44),"",'Personnel Yr 3'!F44),"")</f>
        <v/>
      </c>
      <c r="G44" s="176" t="str">
        <f>IF('Personnel Yr 1'!$J$5&gt;3,IF(ISBLANK('Personnel Yr 3'!G44),"",'Personnel Yr 3'!G44),"")</f>
        <v/>
      </c>
      <c r="H44" s="177" t="str">
        <f>IF('Personnel Yr 1'!$J$5&gt;3,IF(NOT(OR(ISBLANK('Personnel Yr 3'!H44),'Personnel Yr 3'!H44="")),(('Personnel Yr 3'!H44*'Personnel Yr 1'!$D$5)+'Personnel Yr 3'!H44),""),"")</f>
        <v/>
      </c>
      <c r="I44" s="17" t="str">
        <f>IF('Personnel Yr 1'!$J$5&gt;3,IF(AND(OR(ISBLANK(H44),H44=""),ISBLANK('Personnel Yr 3'!I44)),"",'Personnel Yr 3'!I44),"")</f>
        <v/>
      </c>
      <c r="J44" s="17" t="str">
        <f>IF('Personnel Yr 1'!$J$5&gt;3,IF(AND(OR(ISBLANK(I44),I44=""),ISBLANK('Personnel Yr 3'!J44)),"",'Personnel Yr 3'!J44),"")</f>
        <v/>
      </c>
      <c r="K44" s="17" t="str">
        <f>IF('Personnel Yr 1'!$J$5&gt;3,IF(AND(OR(ISBLANK(J44),J44=""),ISBLANK('Personnel Yr 3'!K44)),"",'Personnel Yr 3'!K44),"")</f>
        <v/>
      </c>
      <c r="L44" s="45" t="str">
        <f>IF('Personnel Yr 1'!$J$5&gt;3,IF(NOT(OR(ISBLANK(H44),H44="")),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1'!$J$5&gt;3,IF(OR(ISBLANK(L44),L44=""),"",ROUND(SUM(T44:V44),2)),"")</f>
        <v/>
      </c>
      <c r="N44" s="46" t="str">
        <f>IF('Personnel Yr 1'!$J$5&gt;3,IF(OR(ISBLANK(M44),M44=""),"",ROUND(SUM(L44:M44),2)),"")</f>
        <v/>
      </c>
      <c r="O44" s="158"/>
      <c r="P44" s="336">
        <f>IF('Personnel Yr 1'!$J$5&gt;3,IF(NOT(OR(ISBLANK(I44),I44="")),(H44/12)*I44,""),0)</f>
        <v>0</v>
      </c>
      <c r="Q44" s="337">
        <f>IF('Personnel Yr 1'!$J$5&gt;3,IF(NOT(OR(ISBLANK(J44),J44="")),(H44/8.5)*J44,""),0)</f>
        <v>0</v>
      </c>
      <c r="R44" s="336">
        <f>IF('Personnel Yr 1'!$J$5&gt;3,IF(NOT(OR(ISBLANK(K44),K44="")),(H44/8.5)*K44,""),0)</f>
        <v>0</v>
      </c>
      <c r="T44" s="336">
        <f t="shared" ref="T44:T58" si="3">IF(OR(ISBLANK(P44),P44=""),0,P44*LOOKUP("Full",Ben,Per))</f>
        <v>0</v>
      </c>
      <c r="U44" s="336">
        <f t="shared" ref="U44:U58" si="4">IF(OR(ISBLANK(Q44),Q44=""),0,Q44*LOOKUP("Full",Ben,Per))</f>
        <v>0</v>
      </c>
      <c r="V44" s="336">
        <f t="shared" ref="V44:V58" si="5">IF(OR(ISBLANK(R44),R44=""),0,R44*LOOKUP("Summer",Ben,Per))</f>
        <v>0</v>
      </c>
      <c r="X44" s="336">
        <v>44</v>
      </c>
      <c r="Y44" s="336" t="b">
        <f>IF('Personnel Yr 1'!$J$5&gt;3,IF(OR($N$5&lt;&gt;"Federal - NIH",OR(AND(ISBLANK(I44),ISBLANK(J44),ISBLANK(K44)),AND(I44="",J44="",K44=""))),FALSE,IF(I44&gt;0,H44&gt;NIHSalaryCap,H44&gt;(NIHSalaryCap*8.5)/12)),FALSE)</f>
        <v>0</v>
      </c>
    </row>
    <row r="45" spans="1:25" x14ac:dyDescent="0.2">
      <c r="A45" s="5">
        <v>2</v>
      </c>
      <c r="B45" s="6" t="str">
        <f>IF('Personnel Yr 1'!$J$5&gt;3,IF(NOT(OR(ISBLANK('Personnel Yr 3'!B45),'Personnel Yr 3'!B45="")),'Personnel Yr 3'!B45,""),"")</f>
        <v/>
      </c>
      <c r="C45" s="22" t="str">
        <f>IF('Personnel Yr 1'!$J$5&gt;3,IF(ISBLANK('Personnel Yr 3'!C45),"",'Personnel Yr 3'!C45),"")</f>
        <v/>
      </c>
      <c r="D45" s="22" t="str">
        <f>IF('Personnel Yr 1'!$J$5&gt;3,IF(ISBLANK('Personnel Yr 3'!D45),"",'Personnel Yr 3'!D45),"")</f>
        <v/>
      </c>
      <c r="E45" s="22" t="str">
        <f>IF('Personnel Yr 1'!$J$5&gt;3,IF(ISBLANK('Personnel Yr 3'!E45),"",'Personnel Yr 3'!E45),"")</f>
        <v/>
      </c>
      <c r="F45" s="22" t="str">
        <f>IF('Personnel Yr 1'!$J$5&gt;3,IF(ISBLANK('Personnel Yr 3'!F45),"",'Personnel Yr 3'!F45),"")</f>
        <v/>
      </c>
      <c r="G45" s="22" t="str">
        <f>IF('Personnel Yr 1'!$J$5&gt;3,IF(ISBLANK('Personnel Yr 3'!G45),"",'Personnel Yr 3'!G45),"")</f>
        <v/>
      </c>
      <c r="H45" s="42" t="str">
        <f>IF('Personnel Yr 1'!$J$5&gt;3,IF(NOT(OR(ISBLANK('Personnel Yr 3'!H45),'Personnel Yr 3'!H45="")),(('Personnel Yr 3'!H45*'Personnel Yr 1'!$D$5)+'Personnel Yr 3'!H45),""),"")</f>
        <v/>
      </c>
      <c r="I45" s="22" t="str">
        <f>IF('Personnel Yr 1'!$J$5&gt;3,IF(AND(OR(ISBLANK(H45),H45=""),ISBLANK('Personnel Yr 3'!I45)),"",'Personnel Yr 3'!I45),"")</f>
        <v/>
      </c>
      <c r="J45" s="22" t="str">
        <f>IF('Personnel Yr 1'!$J$5&gt;3,IF(AND(OR(ISBLANK(I45),I45=""),ISBLANK('Personnel Yr 3'!J45)),"",'Personnel Yr 3'!J45),"")</f>
        <v/>
      </c>
      <c r="K45" s="22" t="str">
        <f>IF('Personnel Yr 1'!$J$5&gt;3,IF(AND(OR(ISBLANK(J45),J45=""),ISBLANK('Personnel Yr 3'!K45)),"",'Personnel Yr 3'!K45),"")</f>
        <v/>
      </c>
      <c r="L45" s="44" t="str">
        <f>IF('Personnel Yr 1'!$J$5&gt;3,IF(NOT(OR(ISBLANK(H45),H45="")),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1'!$J$5&gt;3,IF(OR(ISBLANK(L45),L45=""),"",ROUND(SUM(T45:V45),2)),"")</f>
        <v/>
      </c>
      <c r="N45" s="51" t="str">
        <f>IF('Personnel Yr 1'!$J$5&gt;3,IF(OR(ISBLANK(M45),M45=""),"",ROUND(SUM(L45:M45),2)),"")</f>
        <v/>
      </c>
      <c r="O45" s="157"/>
      <c r="P45" s="336">
        <f>IF('Personnel Yr 1'!$J$5&gt;3,IF(NOT(OR(ISBLANK(I45),I45="")),(H45/12)*I45,""),0)</f>
        <v>0</v>
      </c>
      <c r="Q45" s="337">
        <f>IF('Personnel Yr 1'!$J$5&gt;3,IF(NOT(OR(ISBLANK(J45),J45="")),(H45/8.5)*J45,""),0)</f>
        <v>0</v>
      </c>
      <c r="R45" s="336">
        <f>IF('Personnel Yr 1'!$J$5&gt;3,IF(NOT(OR(ISBLANK(K45),K45="")),(H45/8.5)*K45,""),0)</f>
        <v>0</v>
      </c>
      <c r="T45" s="336">
        <f t="shared" si="3"/>
        <v>0</v>
      </c>
      <c r="U45" s="336">
        <f t="shared" si="4"/>
        <v>0</v>
      </c>
      <c r="V45" s="336">
        <f t="shared" si="5"/>
        <v>0</v>
      </c>
      <c r="X45" s="336">
        <v>45</v>
      </c>
      <c r="Y45" s="336" t="b">
        <f>IF('Personnel Yr 1'!$J$5&gt;3,IF(OR($N$5&lt;&gt;"Federal - NIH",OR(AND(ISBLANK(I45),ISBLANK(J45),ISBLANK(K45)),AND(I45="",J45="",K45=""))),FALSE,IF(I45&gt;0,H45&gt;NIHSalaryCap,H45&gt;(NIHSalaryCap*8.5)/12)),FALSE)</f>
        <v>0</v>
      </c>
    </row>
    <row r="46" spans="1:25" x14ac:dyDescent="0.2">
      <c r="A46" s="5">
        <v>3</v>
      </c>
      <c r="B46" s="6" t="str">
        <f>IF('Personnel Yr 1'!$J$5&gt;3,IF(NOT(OR(ISBLANK('Personnel Yr 3'!B46),'Personnel Yr 3'!B46="")),'Personnel Yr 3'!B46,""),"")</f>
        <v/>
      </c>
      <c r="C46" s="22" t="str">
        <f>IF('Personnel Yr 1'!$J$5&gt;3,IF(ISBLANK('Personnel Yr 3'!C46),"",'Personnel Yr 3'!C46),"")</f>
        <v/>
      </c>
      <c r="D46" s="22" t="str">
        <f>IF('Personnel Yr 1'!$J$5&gt;3,IF(ISBLANK('Personnel Yr 3'!D46),"",'Personnel Yr 3'!D46),"")</f>
        <v/>
      </c>
      <c r="E46" s="22" t="str">
        <f>IF('Personnel Yr 1'!$J$5&gt;3,IF(ISBLANK('Personnel Yr 3'!E46),"",'Personnel Yr 3'!E46),"")</f>
        <v/>
      </c>
      <c r="F46" s="22" t="str">
        <f>IF('Personnel Yr 1'!$J$5&gt;3,IF(ISBLANK('Personnel Yr 3'!F46),"",'Personnel Yr 3'!F46),"")</f>
        <v/>
      </c>
      <c r="G46" s="70" t="str">
        <f>IF('Personnel Yr 1'!$J$5&gt;3,IF(ISBLANK('Personnel Yr 3'!G46),"",'Personnel Yr 3'!G46),"")</f>
        <v/>
      </c>
      <c r="H46" s="42" t="str">
        <f>IF('Personnel Yr 1'!$J$5&gt;3,IF(NOT(OR(ISBLANK('Personnel Yr 3'!H46),'Personnel Yr 3'!H46="")),(('Personnel Yr 3'!H46*'Personnel Yr 1'!$D$5)+'Personnel Yr 3'!H46),""),"")</f>
        <v/>
      </c>
      <c r="I46" s="22" t="str">
        <f>IF('Personnel Yr 1'!$J$5&gt;3,IF(AND(OR(ISBLANK(H46),H46=""),ISBLANK('Personnel Yr 3'!I46)),"",'Personnel Yr 3'!I46),"")</f>
        <v/>
      </c>
      <c r="J46" s="22" t="str">
        <f>IF('Personnel Yr 1'!$J$5&gt;3,IF(AND(OR(ISBLANK(I46),I46=""),ISBLANK('Personnel Yr 3'!J46)),"",'Personnel Yr 3'!J46),"")</f>
        <v/>
      </c>
      <c r="K46" s="22" t="str">
        <f>IF('Personnel Yr 1'!$J$5&gt;3,IF(AND(OR(ISBLANK(J46),J46=""),ISBLANK('Personnel Yr 3'!K46)),"",'Personnel Yr 3'!K46),"")</f>
        <v/>
      </c>
      <c r="L46" s="44" t="str">
        <f>IF('Personnel Yr 1'!$J$5&gt;3,IF(NOT(OR(ISBLANK(H46),H46="")),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1'!$J$5&gt;3,IF(OR(ISBLANK(L46),L46=""),"",ROUND(SUM(T46:V46),2)),"")</f>
        <v/>
      </c>
      <c r="N46" s="51" t="str">
        <f>IF('Personnel Yr 1'!$J$5&gt;3,IF(OR(ISBLANK(M46),M46=""),"",ROUND(SUM(L46:M46),2)),"")</f>
        <v/>
      </c>
      <c r="O46" s="160"/>
      <c r="P46" s="336">
        <f>IF('Personnel Yr 1'!$J$5&gt;3,IF(NOT(OR(ISBLANK(I46),I46="")),(H46/12)*I46,""),0)</f>
        <v>0</v>
      </c>
      <c r="Q46" s="337">
        <f>IF('Personnel Yr 1'!$J$5&gt;3,IF(NOT(OR(ISBLANK(J46),J46="")),(H46/8.5)*J46,""),0)</f>
        <v>0</v>
      </c>
      <c r="R46" s="336">
        <f>IF('Personnel Yr 1'!$J$5&gt;3,IF(NOT(OR(ISBLANK(K46),K46="")),(H46/8.5)*K46,""),0)</f>
        <v>0</v>
      </c>
      <c r="T46" s="336">
        <f t="shared" si="3"/>
        <v>0</v>
      </c>
      <c r="U46" s="336">
        <f t="shared" si="4"/>
        <v>0</v>
      </c>
      <c r="V46" s="336">
        <f t="shared" si="5"/>
        <v>0</v>
      </c>
      <c r="X46" s="336">
        <v>46</v>
      </c>
      <c r="Y46" s="336" t="b">
        <f>IF('Personnel Yr 1'!$J$5&gt;3,IF(OR($N$5&lt;&gt;"Federal - NIH",OR(AND(ISBLANK(I46),ISBLANK(J46),ISBLANK(K46)),AND(I46="",J46="",K46=""))),FALSE,IF(I46&gt;0,H46&gt;NIHSalaryCap,H46&gt;(NIHSalaryCap*8.5)/12)),FALSE)</f>
        <v>0</v>
      </c>
    </row>
    <row r="47" spans="1:25" x14ac:dyDescent="0.2">
      <c r="A47" s="5">
        <v>4</v>
      </c>
      <c r="B47" s="6" t="str">
        <f>IF('Personnel Yr 1'!$J$5&gt;3,IF(NOT(OR(ISBLANK('Personnel Yr 3'!B47),'Personnel Yr 3'!B47="")),'Personnel Yr 3'!B47,""),"")</f>
        <v/>
      </c>
      <c r="C47" s="22" t="str">
        <f>IF('Personnel Yr 1'!$J$5&gt;3,IF(ISBLANK('Personnel Yr 3'!C47),"",'Personnel Yr 3'!C47),"")</f>
        <v/>
      </c>
      <c r="D47" s="22" t="str">
        <f>IF('Personnel Yr 1'!$J$5&gt;3,IF(ISBLANK('Personnel Yr 3'!D47),"",'Personnel Yr 3'!D47),"")</f>
        <v/>
      </c>
      <c r="E47" s="22" t="str">
        <f>IF('Personnel Yr 1'!$J$5&gt;3,IF(ISBLANK('Personnel Yr 3'!E47),"",'Personnel Yr 3'!E47),"")</f>
        <v/>
      </c>
      <c r="F47" s="22" t="str">
        <f>IF('Personnel Yr 1'!$J$5&gt;3,IF(ISBLANK('Personnel Yr 3'!F47),"",'Personnel Yr 3'!F47),"")</f>
        <v/>
      </c>
      <c r="G47" s="71" t="str">
        <f>IF('Personnel Yr 1'!$J$5&gt;3,IF(ISBLANK('Personnel Yr 3'!G47),"",'Personnel Yr 3'!G47),"")</f>
        <v/>
      </c>
      <c r="H47" s="42" t="str">
        <f>IF('Personnel Yr 1'!$J$5&gt;3,IF(NOT(OR(ISBLANK('Personnel Yr 3'!H47),'Personnel Yr 3'!H47="")),(('Personnel Yr 3'!H47*'Personnel Yr 1'!$D$5)+'Personnel Yr 3'!H47),""),"")</f>
        <v/>
      </c>
      <c r="I47" s="22" t="str">
        <f>IF('Personnel Yr 1'!$J$5&gt;3,IF(AND(OR(ISBLANK(H47),H47=""),ISBLANK('Personnel Yr 3'!I47)),"",'Personnel Yr 3'!I47),"")</f>
        <v/>
      </c>
      <c r="J47" s="22" t="str">
        <f>IF('Personnel Yr 1'!$J$5&gt;3,IF(AND(OR(ISBLANK(I47),I47=""),ISBLANK('Personnel Yr 3'!J47)),"",'Personnel Yr 3'!J47),"")</f>
        <v/>
      </c>
      <c r="K47" s="22" t="str">
        <f>IF('Personnel Yr 1'!$J$5&gt;3,IF(AND(OR(ISBLANK(J47),J47=""),ISBLANK('Personnel Yr 3'!K47)),"",'Personnel Yr 3'!K47),"")</f>
        <v/>
      </c>
      <c r="L47" s="44" t="str">
        <f>IF('Personnel Yr 1'!$J$5&gt;3,IF(NOT(OR(ISBLANK(H47),H47="")),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1'!$J$5&gt;3,IF(OR(ISBLANK(L47),L47=""),"",ROUND(SUM(T47:V47),2)),"")</f>
        <v/>
      </c>
      <c r="N47" s="51" t="str">
        <f>IF('Personnel Yr 1'!$J$5&gt;3,IF(OR(ISBLANK(M47),M47=""),"",ROUND(SUM(L47:M47),2)),"")</f>
        <v/>
      </c>
      <c r="O47" s="159"/>
      <c r="P47" s="336">
        <f>IF('Personnel Yr 1'!$J$5&gt;3,IF(NOT(OR(ISBLANK(I47),I47="")),(H47/12)*I47,""),0)</f>
        <v>0</v>
      </c>
      <c r="Q47" s="337">
        <f>IF('Personnel Yr 1'!$J$5&gt;3,IF(NOT(OR(ISBLANK(J47),J47="")),(H47/8.5)*J47,""),0)</f>
        <v>0</v>
      </c>
      <c r="R47" s="336">
        <f>IF('Personnel Yr 1'!$J$5&gt;3,IF(NOT(OR(ISBLANK(K47),K47="")),(H47/8.5)*K47,""),0)</f>
        <v>0</v>
      </c>
      <c r="T47" s="336">
        <f t="shared" si="3"/>
        <v>0</v>
      </c>
      <c r="U47" s="336">
        <f t="shared" si="4"/>
        <v>0</v>
      </c>
      <c r="V47" s="336">
        <f t="shared" si="5"/>
        <v>0</v>
      </c>
      <c r="X47" s="336">
        <v>47</v>
      </c>
      <c r="Y47" s="336" t="b">
        <f>IF('Personnel Yr 1'!$J$5&gt;3,IF(OR($N$5&lt;&gt;"Federal - NIH",OR(AND(ISBLANK(I47),ISBLANK(J47),ISBLANK(K47)),AND(I47="",J47="",K47=""))),FALSE,IF(I47&gt;0,H47&gt;NIHSalaryCap,H47&gt;(NIHSalaryCap*8.5)/12)),FALSE)</f>
        <v>0</v>
      </c>
    </row>
    <row r="48" spans="1:25" x14ac:dyDescent="0.2">
      <c r="A48" s="5">
        <v>5</v>
      </c>
      <c r="B48" s="6" t="str">
        <f>IF('Personnel Yr 1'!$J$5&gt;3,IF(NOT(OR(ISBLANK('Personnel Yr 3'!B48),'Personnel Yr 3'!B48="")),'Personnel Yr 3'!B48,""),"")</f>
        <v/>
      </c>
      <c r="C48" s="22" t="str">
        <f>IF('Personnel Yr 1'!$J$5&gt;3,IF(ISBLANK('Personnel Yr 3'!C48),"",'Personnel Yr 3'!C48),"")</f>
        <v/>
      </c>
      <c r="D48" s="22" t="str">
        <f>IF('Personnel Yr 1'!$J$5&gt;3,IF(ISBLANK('Personnel Yr 3'!D48),"",'Personnel Yr 3'!D48),"")</f>
        <v/>
      </c>
      <c r="E48" s="22" t="str">
        <f>IF('Personnel Yr 1'!$J$5&gt;3,IF(ISBLANK('Personnel Yr 3'!E48),"",'Personnel Yr 3'!E48),"")</f>
        <v/>
      </c>
      <c r="F48" s="22" t="str">
        <f>IF('Personnel Yr 1'!$J$5&gt;3,IF(ISBLANK('Personnel Yr 3'!F48),"",'Personnel Yr 3'!F48),"")</f>
        <v/>
      </c>
      <c r="G48" s="22" t="str">
        <f>IF('Personnel Yr 1'!$J$5&gt;3,IF(ISBLANK('Personnel Yr 3'!G48),"",'Personnel Yr 3'!G48),"")</f>
        <v/>
      </c>
      <c r="H48" s="42" t="str">
        <f>IF('Personnel Yr 1'!$J$5&gt;3,IF(NOT(OR(ISBLANK('Personnel Yr 3'!H48),'Personnel Yr 3'!H48="")),(('Personnel Yr 3'!H48*'Personnel Yr 1'!$D$5)+'Personnel Yr 3'!H48),""),"")</f>
        <v/>
      </c>
      <c r="I48" s="22" t="str">
        <f>IF('Personnel Yr 1'!$J$5&gt;3,IF(AND(OR(ISBLANK(H48),H48=""),ISBLANK('Personnel Yr 3'!I48)),"",'Personnel Yr 3'!I48),"")</f>
        <v/>
      </c>
      <c r="J48" s="22" t="str">
        <f>IF('Personnel Yr 1'!$J$5&gt;3,IF(AND(OR(ISBLANK(I48),I48=""),ISBLANK('Personnel Yr 3'!J48)),"",'Personnel Yr 3'!J48),"")</f>
        <v/>
      </c>
      <c r="K48" s="22" t="str">
        <f>IF('Personnel Yr 1'!$J$5&gt;3,IF(AND(OR(ISBLANK(J48),J48=""),ISBLANK('Personnel Yr 3'!K48)),"",'Personnel Yr 3'!K48),"")</f>
        <v/>
      </c>
      <c r="L48" s="44" t="str">
        <f>IF('Personnel Yr 1'!$J$5&gt;3,IF(NOT(OR(ISBLANK(H48),H48="")),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1'!$J$5&gt;3,IF(OR(ISBLANK(L48),L48=""),"",ROUND(SUM(T48:V48),2)),"")</f>
        <v/>
      </c>
      <c r="N48" s="51" t="str">
        <f>IF('Personnel Yr 1'!$J$5&gt;3,IF(OR(ISBLANK(M48),M48=""),"",ROUND(SUM(L48:M48),2)),"")</f>
        <v/>
      </c>
      <c r="O48" s="159"/>
      <c r="P48" s="336">
        <f>IF('Personnel Yr 1'!$J$5&gt;3,IF(NOT(OR(ISBLANK(I48),I48="")),(H48/12)*I48,""),0)</f>
        <v>0</v>
      </c>
      <c r="Q48" s="337">
        <f>IF('Personnel Yr 1'!$J$5&gt;3,IF(NOT(OR(ISBLANK(J48),J48="")),(H48/8.5)*J48,""),0)</f>
        <v>0</v>
      </c>
      <c r="R48" s="336">
        <f>IF('Personnel Yr 1'!$J$5&gt;3,IF(NOT(OR(ISBLANK(K48),K48="")),(H48/8.5)*K48,""),0)</f>
        <v>0</v>
      </c>
      <c r="T48" s="336">
        <f t="shared" si="3"/>
        <v>0</v>
      </c>
      <c r="U48" s="336">
        <f t="shared" si="4"/>
        <v>0</v>
      </c>
      <c r="V48" s="336">
        <f t="shared" si="5"/>
        <v>0</v>
      </c>
      <c r="X48" s="336">
        <v>48</v>
      </c>
      <c r="Y48" s="336" t="b">
        <f>IF('Personnel Yr 1'!$J$5&gt;3,IF(OR($N$5&lt;&gt;"Federal - NIH",OR(AND(ISBLANK(I48),ISBLANK(J48),ISBLANK(K48)),AND(I48="",J48="",K48=""))),FALSE,IF(I48&gt;0,H48&gt;NIHSalaryCap,H48&gt;(NIHSalaryCap*8.5)/12)),FALSE)</f>
        <v>0</v>
      </c>
    </row>
    <row r="49" spans="1:25" x14ac:dyDescent="0.2">
      <c r="A49" s="5">
        <v>6</v>
      </c>
      <c r="B49" s="6" t="str">
        <f>IF('Personnel Yr 1'!$J$5&gt;3,IF(NOT(OR(ISBLANK('Personnel Yr 3'!B49),'Personnel Yr 3'!B49="")),'Personnel Yr 3'!B49,""),"")</f>
        <v/>
      </c>
      <c r="C49" s="22" t="str">
        <f>IF('Personnel Yr 1'!$J$5&gt;3,IF(ISBLANK('Personnel Yr 3'!C49),"",'Personnel Yr 3'!C49),"")</f>
        <v/>
      </c>
      <c r="D49" s="22" t="str">
        <f>IF('Personnel Yr 1'!$J$5&gt;3,IF(ISBLANK('Personnel Yr 3'!D49),"",'Personnel Yr 3'!D49),"")</f>
        <v/>
      </c>
      <c r="E49" s="22" t="str">
        <f>IF('Personnel Yr 1'!$J$5&gt;3,IF(ISBLANK('Personnel Yr 3'!E49),"",'Personnel Yr 3'!E49),"")</f>
        <v/>
      </c>
      <c r="F49" s="22" t="str">
        <f>IF('Personnel Yr 1'!$J$5&gt;3,IF(ISBLANK('Personnel Yr 3'!F49),"",'Personnel Yr 3'!F49),"")</f>
        <v/>
      </c>
      <c r="G49" s="22" t="str">
        <f>IF('Personnel Yr 1'!$J$5&gt;3,IF(ISBLANK('Personnel Yr 3'!G49),"",'Personnel Yr 3'!G49),"")</f>
        <v/>
      </c>
      <c r="H49" s="42" t="str">
        <f>IF('Personnel Yr 1'!$J$5&gt;3,IF(NOT(OR(ISBLANK('Personnel Yr 3'!H49),'Personnel Yr 3'!H49="")),(('Personnel Yr 3'!H49*'Personnel Yr 1'!$D$5)+'Personnel Yr 3'!H49),""),"")</f>
        <v/>
      </c>
      <c r="I49" s="22" t="str">
        <f>IF('Personnel Yr 1'!$J$5&gt;3,IF(AND(OR(ISBLANK(H49),H49=""),ISBLANK('Personnel Yr 3'!I49)),"",'Personnel Yr 3'!I49),"")</f>
        <v/>
      </c>
      <c r="J49" s="22" t="str">
        <f>IF('Personnel Yr 1'!$J$5&gt;3,IF(AND(OR(ISBLANK(I49),I49=""),ISBLANK('Personnel Yr 3'!J49)),"",'Personnel Yr 3'!J49),"")</f>
        <v/>
      </c>
      <c r="K49" s="22" t="str">
        <f>IF('Personnel Yr 1'!$J$5&gt;3,IF(AND(OR(ISBLANK(J49),J49=""),ISBLANK('Personnel Yr 3'!K49)),"",'Personnel Yr 3'!K49),"")</f>
        <v/>
      </c>
      <c r="L49" s="44" t="str">
        <f>IF('Personnel Yr 1'!$J$5&gt;3,IF(NOT(OR(ISBLANK(H49),H49="")),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1'!$J$5&gt;3,IF(OR(ISBLANK(L49),L49=""),"",ROUND(SUM(T49:V49),2)),"")</f>
        <v/>
      </c>
      <c r="N49" s="51" t="str">
        <f>IF('Personnel Yr 1'!$J$5&gt;3,IF(OR(ISBLANK(M49),M49=""),"",ROUND(SUM(L49:M49),2)),"")</f>
        <v/>
      </c>
      <c r="O49" s="157"/>
      <c r="P49" s="336">
        <f>IF('Personnel Yr 1'!$J$5&gt;3,IF(NOT(OR(ISBLANK(I49),I49="")),(H49/12)*I49,""),0)</f>
        <v>0</v>
      </c>
      <c r="Q49" s="337">
        <f>IF('Personnel Yr 1'!$J$5&gt;3,IF(NOT(OR(ISBLANK(J49),J49="")),(H49/8.5)*J49,""),0)</f>
        <v>0</v>
      </c>
      <c r="R49" s="336">
        <f>IF('Personnel Yr 1'!$J$5&gt;3,IF(NOT(OR(ISBLANK(K49),K49="")),(H49/8.5)*K49,""),0)</f>
        <v>0</v>
      </c>
      <c r="T49" s="336">
        <f t="shared" si="3"/>
        <v>0</v>
      </c>
      <c r="U49" s="336">
        <f t="shared" si="4"/>
        <v>0</v>
      </c>
      <c r="V49" s="336">
        <f t="shared" si="5"/>
        <v>0</v>
      </c>
      <c r="X49" s="336">
        <v>49</v>
      </c>
      <c r="Y49" s="336" t="b">
        <f>IF('Personnel Yr 1'!$J$5&gt;3,IF(OR($N$5&lt;&gt;"Federal - NIH",OR(AND(ISBLANK(I49),ISBLANK(J49),ISBLANK(K49)),AND(I49="",J49="",K49=""))),FALSE,IF(I49&gt;0,H49&gt;NIHSalaryCap,H49&gt;(NIHSalaryCap*8.5)/12)),FALSE)</f>
        <v>0</v>
      </c>
    </row>
    <row r="50" spans="1:25" x14ac:dyDescent="0.2">
      <c r="A50" s="5">
        <v>7</v>
      </c>
      <c r="B50" s="6" t="str">
        <f>IF('Personnel Yr 1'!$J$5&gt;3,IF(NOT(OR(ISBLANK('Personnel Yr 3'!B50),'Personnel Yr 3'!B50="")),'Personnel Yr 3'!B50,""),"")</f>
        <v/>
      </c>
      <c r="C50" s="22" t="str">
        <f>IF('Personnel Yr 1'!$J$5&gt;3,IF(ISBLANK('Personnel Yr 3'!C50),"",'Personnel Yr 3'!C50),"")</f>
        <v/>
      </c>
      <c r="D50" s="22" t="str">
        <f>IF('Personnel Yr 1'!$J$5&gt;3,IF(ISBLANK('Personnel Yr 3'!D50),"",'Personnel Yr 3'!D50),"")</f>
        <v/>
      </c>
      <c r="E50" s="22" t="str">
        <f>IF('Personnel Yr 1'!$J$5&gt;3,IF(ISBLANK('Personnel Yr 3'!E50),"",'Personnel Yr 3'!E50),"")</f>
        <v/>
      </c>
      <c r="F50" s="22" t="str">
        <f>IF('Personnel Yr 1'!$J$5&gt;3,IF(ISBLANK('Personnel Yr 3'!F50),"",'Personnel Yr 3'!F50),"")</f>
        <v/>
      </c>
      <c r="G50" s="22" t="str">
        <f>IF('Personnel Yr 1'!$J$5&gt;3,IF(ISBLANK('Personnel Yr 3'!G50),"",'Personnel Yr 3'!G50),"")</f>
        <v/>
      </c>
      <c r="H50" s="42" t="str">
        <f>IF('Personnel Yr 1'!$J$5&gt;3,IF(NOT(OR(ISBLANK('Personnel Yr 3'!H50),'Personnel Yr 3'!H50="")),(('Personnel Yr 3'!H50*'Personnel Yr 1'!$D$5)+'Personnel Yr 3'!H50),""),"")</f>
        <v/>
      </c>
      <c r="I50" s="22" t="str">
        <f>IF('Personnel Yr 1'!$J$5&gt;3,IF(AND(OR(ISBLANK(H50),H50=""),ISBLANK('Personnel Yr 3'!I50)),"",'Personnel Yr 3'!I50),"")</f>
        <v/>
      </c>
      <c r="J50" s="22" t="str">
        <f>IF('Personnel Yr 1'!$J$5&gt;3,IF(AND(OR(ISBLANK(I50),I50=""),ISBLANK('Personnel Yr 3'!J50)),"",'Personnel Yr 3'!J50),"")</f>
        <v/>
      </c>
      <c r="K50" s="22" t="str">
        <f>IF('Personnel Yr 1'!$J$5&gt;3,IF(AND(OR(ISBLANK(J50),J50=""),ISBLANK('Personnel Yr 3'!K50)),"",'Personnel Yr 3'!K50),"")</f>
        <v/>
      </c>
      <c r="L50" s="44" t="str">
        <f>IF('Personnel Yr 1'!$J$5&gt;3,IF(NOT(OR(ISBLANK(H50),H50="")),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1'!$J$5&gt;3,IF(OR(ISBLANK(L50),L50=""),"",ROUND(SUM(T50:V50),2)),"")</f>
        <v/>
      </c>
      <c r="N50" s="51" t="str">
        <f>IF('Personnel Yr 1'!$J$5&gt;3,IF(OR(ISBLANK(M50),M50=""),"",ROUND(SUM(L50:M50),2)),"")</f>
        <v/>
      </c>
      <c r="O50" s="159"/>
      <c r="P50" s="336">
        <f>IF('Personnel Yr 1'!$J$5&gt;3,IF(NOT(OR(ISBLANK(I50),I50="")),(H50/12)*I50,""),0)</f>
        <v>0</v>
      </c>
      <c r="Q50" s="337">
        <f>IF('Personnel Yr 1'!$J$5&gt;3,IF(NOT(OR(ISBLANK(J50),J50="")),(H50/8.5)*J50,""),0)</f>
        <v>0</v>
      </c>
      <c r="R50" s="336">
        <f>IF('Personnel Yr 1'!$J$5&gt;3,IF(NOT(OR(ISBLANK(K50),K50="")),(H50/8.5)*K50,""),0)</f>
        <v>0</v>
      </c>
      <c r="T50" s="336">
        <f t="shared" si="3"/>
        <v>0</v>
      </c>
      <c r="U50" s="336">
        <f t="shared" si="4"/>
        <v>0</v>
      </c>
      <c r="V50" s="336">
        <f t="shared" si="5"/>
        <v>0</v>
      </c>
      <c r="X50" s="336">
        <v>50</v>
      </c>
      <c r="Y50" s="336" t="b">
        <f>IF('Personnel Yr 1'!$J$5&gt;3,IF(OR($N$5&lt;&gt;"Federal - NIH",OR(AND(ISBLANK(I50),ISBLANK(J50),ISBLANK(K50)),AND(I50="",J50="",K50=""))),FALSE,IF(I50&gt;0,H50&gt;NIHSalaryCap,H50&gt;(NIHSalaryCap*8.5)/12)),FALSE)</f>
        <v>0</v>
      </c>
    </row>
    <row r="51" spans="1:25" x14ac:dyDescent="0.2">
      <c r="A51" s="5">
        <v>8</v>
      </c>
      <c r="B51" s="75" t="str">
        <f>IF('Personnel Yr 1'!$J$5&gt;3,IF(NOT(OR(ISBLANK('Personnel Yr 3'!B51),'Personnel Yr 3'!B51="")),'Personnel Yr 3'!B51,""),"")</f>
        <v/>
      </c>
      <c r="C51" s="69" t="str">
        <f>IF('Personnel Yr 1'!$J$5&gt;3,IF(ISBLANK('Personnel Yr 3'!C51),"",'Personnel Yr 3'!C51),"")</f>
        <v/>
      </c>
      <c r="D51" s="69" t="str">
        <f>IF('Personnel Yr 1'!$J$5&gt;3,IF(ISBLANK('Personnel Yr 3'!D51),"",'Personnel Yr 3'!D51),"")</f>
        <v/>
      </c>
      <c r="E51" s="69" t="str">
        <f>IF('Personnel Yr 1'!$J$5&gt;3,IF(ISBLANK('Personnel Yr 3'!E51),"",'Personnel Yr 3'!E51),"")</f>
        <v/>
      </c>
      <c r="F51" s="69" t="str">
        <f>IF('Personnel Yr 1'!$J$5&gt;3,IF(ISBLANK('Personnel Yr 3'!F51),"",'Personnel Yr 3'!F51),"")</f>
        <v/>
      </c>
      <c r="G51" s="69" t="str">
        <f>IF('Personnel Yr 1'!$J$5&gt;3,IF(ISBLANK('Personnel Yr 3'!G51),"",'Personnel Yr 3'!G51),"")</f>
        <v/>
      </c>
      <c r="H51" s="42" t="str">
        <f>IF('Personnel Yr 1'!$J$5&gt;3,IF(NOT(OR(ISBLANK('Personnel Yr 3'!H51),'Personnel Yr 3'!H51="")),(('Personnel Yr 3'!H51*'Personnel Yr 1'!$D$5)+'Personnel Yr 3'!H51),""),"")</f>
        <v/>
      </c>
      <c r="I51" s="22" t="str">
        <f>IF('Personnel Yr 1'!$J$5&gt;3,IF(AND(OR(ISBLANK(H51),H51=""),ISBLANK('Personnel Yr 3'!I51)),"",'Personnel Yr 3'!I51),"")</f>
        <v/>
      </c>
      <c r="J51" s="22" t="str">
        <f>IF('Personnel Yr 1'!$J$5&gt;3,IF(AND(OR(ISBLANK(I51),I51=""),ISBLANK('Personnel Yr 3'!J51)),"",'Personnel Yr 3'!J51),"")</f>
        <v/>
      </c>
      <c r="K51" s="22" t="str">
        <f>IF('Personnel Yr 1'!$J$5&gt;3,IF(AND(OR(ISBLANK(J51),J51=""),ISBLANK('Personnel Yr 3'!K51)),"",'Personnel Yr 3'!K51),"")</f>
        <v/>
      </c>
      <c r="L51" s="44" t="str">
        <f>IF('Personnel Yr 1'!$J$5&gt;3,IF(NOT(OR(ISBLANK(H51),H51="")),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1'!$J$5&gt;3,IF(OR(ISBLANK(L51),L51=""),"",ROUND(SUM(T51:V51),2)),"")</f>
        <v/>
      </c>
      <c r="N51" s="50" t="str">
        <f>IF('Personnel Yr 1'!$J$5&gt;3,IF(OR(ISBLANK(M51),M51=""),"",ROUND(SUM(L51:M51),2)),"")</f>
        <v/>
      </c>
      <c r="O51" s="182"/>
      <c r="P51" s="336">
        <f>IF('Personnel Yr 1'!$J$5&gt;3,IF(NOT(OR(ISBLANK(I51),I51="")),(H51/12)*I51,""),0)</f>
        <v>0</v>
      </c>
      <c r="Q51" s="337">
        <f>IF('Personnel Yr 1'!$J$5&gt;3,IF(NOT(OR(ISBLANK(J51),J51="")),(H51/8.5)*J51,""),0)</f>
        <v>0</v>
      </c>
      <c r="R51" s="336">
        <f>IF('Personnel Yr 1'!$J$5&gt;3,IF(NOT(OR(ISBLANK(K51),K51="")),(H51/8.5)*K51,""),0)</f>
        <v>0</v>
      </c>
      <c r="T51" s="336">
        <f t="shared" si="3"/>
        <v>0</v>
      </c>
      <c r="U51" s="336">
        <f t="shared" si="4"/>
        <v>0</v>
      </c>
      <c r="V51" s="336">
        <f t="shared" si="5"/>
        <v>0</v>
      </c>
      <c r="X51" s="336">
        <v>51</v>
      </c>
      <c r="Y51" s="336" t="b">
        <f>IF('Personnel Yr 1'!$J$5&gt;3,IF(OR($N$5&lt;&gt;"Federal - NIH",OR(AND(ISBLANK(I51),ISBLANK(J51),ISBLANK(K51)),AND(I51="",J51="",K51=""))),FALSE,IF(I51&gt;0,H51&gt;NIHSalaryCap,H51&gt;(NIHSalaryCap*8.5)/12)),FALSE)</f>
        <v>0</v>
      </c>
    </row>
    <row r="52" spans="1:25" x14ac:dyDescent="0.2">
      <c r="A52" s="5">
        <v>9</v>
      </c>
      <c r="B52" s="6" t="str">
        <f>IF('Personnel Yr 1'!$J$5&gt;3,IF(NOT(OR(ISBLANK('Personnel Yr 3'!B52),'Personnel Yr 3'!B52="")),'Personnel Yr 3'!B52,""),"")</f>
        <v/>
      </c>
      <c r="C52" s="22" t="str">
        <f>IF('Personnel Yr 1'!$J$5&gt;3,IF(ISBLANK('Personnel Yr 3'!C52),"",'Personnel Yr 3'!C52),"")</f>
        <v/>
      </c>
      <c r="D52" s="22" t="str">
        <f>IF('Personnel Yr 1'!$J$5&gt;3,IF(ISBLANK('Personnel Yr 3'!D52),"",'Personnel Yr 3'!D52),"")</f>
        <v/>
      </c>
      <c r="E52" s="22" t="str">
        <f>IF('Personnel Yr 1'!$J$5&gt;3,IF(ISBLANK('Personnel Yr 3'!E52),"",'Personnel Yr 3'!E52),"")</f>
        <v/>
      </c>
      <c r="F52" s="22" t="str">
        <f>IF('Personnel Yr 1'!$J$5&gt;3,IF(ISBLANK('Personnel Yr 3'!F52),"",'Personnel Yr 3'!F52),"")</f>
        <v/>
      </c>
      <c r="G52" s="71" t="str">
        <f>IF('Personnel Yr 1'!$J$5&gt;3,IF(ISBLANK('Personnel Yr 3'!G52),"",'Personnel Yr 3'!G52),"")</f>
        <v/>
      </c>
      <c r="H52" s="42" t="str">
        <f>IF('Personnel Yr 1'!$J$5&gt;3,IF(NOT(OR(ISBLANK('Personnel Yr 3'!H52),'Personnel Yr 3'!H52="")),(('Personnel Yr 3'!H52*'Personnel Yr 1'!$D$5)+'Personnel Yr 3'!H52),""),"")</f>
        <v/>
      </c>
      <c r="I52" s="22" t="str">
        <f>IF('Personnel Yr 1'!$J$5&gt;3,IF(AND(OR(ISBLANK(H52),H52=""),ISBLANK('Personnel Yr 3'!I52)),"",'Personnel Yr 3'!I52),"")</f>
        <v/>
      </c>
      <c r="J52" s="22" t="str">
        <f>IF('Personnel Yr 1'!$J$5&gt;3,IF(AND(OR(ISBLANK(I52),I52=""),ISBLANK('Personnel Yr 3'!J52)),"",'Personnel Yr 3'!J52),"")</f>
        <v/>
      </c>
      <c r="K52" s="22" t="str">
        <f>IF('Personnel Yr 1'!$J$5&gt;3,IF(AND(OR(ISBLANK(J52),J52=""),ISBLANK('Personnel Yr 3'!K52)),"",'Personnel Yr 3'!K52),"")</f>
        <v/>
      </c>
      <c r="L52" s="44" t="str">
        <f>IF('Personnel Yr 1'!$J$5&gt;3,IF(NOT(OR(ISBLANK(H52),H52="")),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1'!$J$5&gt;3,IF(OR(ISBLANK(L52),L52=""),"",ROUND(SUM(T52:V52),2)),"")</f>
        <v/>
      </c>
      <c r="N52" s="51" t="str">
        <f>IF('Personnel Yr 1'!$J$5&gt;3,IF(OR(ISBLANK(M52),M52=""),"",ROUND(SUM(L52:M52),2)),"")</f>
        <v/>
      </c>
      <c r="O52" s="159"/>
      <c r="P52" s="336">
        <f>IF('Personnel Yr 1'!$J$5&gt;3,IF(NOT(OR(ISBLANK(I52),I52="")),(H52/12)*I52,""),0)</f>
        <v>0</v>
      </c>
      <c r="Q52" s="337">
        <f>IF('Personnel Yr 1'!$J$5&gt;3,IF(NOT(OR(ISBLANK(J52),J52="")),(H52/8.5)*J52,""),0)</f>
        <v>0</v>
      </c>
      <c r="R52" s="336">
        <f>IF('Personnel Yr 1'!$J$5&gt;3,IF(NOT(OR(ISBLANK(K52),K52="")),(H52/8.5)*K52,""),0)</f>
        <v>0</v>
      </c>
      <c r="T52" s="336">
        <f t="shared" si="3"/>
        <v>0</v>
      </c>
      <c r="U52" s="336">
        <f t="shared" si="4"/>
        <v>0</v>
      </c>
      <c r="V52" s="336">
        <f t="shared" si="5"/>
        <v>0</v>
      </c>
      <c r="X52" s="336">
        <v>52</v>
      </c>
      <c r="Y52" s="336" t="b">
        <f>IF('Personnel Yr 1'!$J$5&gt;3,IF(OR($N$5&lt;&gt;"Federal - NIH",OR(AND(ISBLANK(I52),ISBLANK(J52),ISBLANK(K52)),AND(I52="",J52="",K52=""))),FALSE,IF(I52&gt;0,H52&gt;NIHSalaryCap,H52&gt;(NIHSalaryCap*8.5)/12)),FALSE)</f>
        <v>0</v>
      </c>
    </row>
    <row r="53" spans="1:25" x14ac:dyDescent="0.2">
      <c r="A53" s="5">
        <v>10</v>
      </c>
      <c r="B53" s="6" t="str">
        <f>IF('Personnel Yr 1'!$J$5&gt;3,IF(NOT(OR(ISBLANK('Personnel Yr 3'!B53),'Personnel Yr 3'!B53="")),'Personnel Yr 3'!B53,""),"")</f>
        <v/>
      </c>
      <c r="C53" s="22" t="str">
        <f>IF('Personnel Yr 1'!$J$5&gt;3,IF(ISBLANK('Personnel Yr 3'!C53),"",'Personnel Yr 3'!C53),"")</f>
        <v/>
      </c>
      <c r="D53" s="22" t="str">
        <f>IF('Personnel Yr 1'!$J$5&gt;3,IF(ISBLANK('Personnel Yr 3'!D53),"",'Personnel Yr 3'!D53),"")</f>
        <v/>
      </c>
      <c r="E53" s="22" t="str">
        <f>IF('Personnel Yr 1'!$J$5&gt;3,IF(ISBLANK('Personnel Yr 3'!E53),"",'Personnel Yr 3'!E53),"")</f>
        <v/>
      </c>
      <c r="F53" s="22" t="str">
        <f>IF('Personnel Yr 1'!$J$5&gt;3,IF(ISBLANK('Personnel Yr 3'!F53),"",'Personnel Yr 3'!F53),"")</f>
        <v/>
      </c>
      <c r="G53" s="22" t="str">
        <f>IF('Personnel Yr 1'!$J$5&gt;3,IF(ISBLANK('Personnel Yr 3'!G53),"",'Personnel Yr 3'!G53),"")</f>
        <v/>
      </c>
      <c r="H53" s="42" t="str">
        <f>IF('Personnel Yr 1'!$J$5&gt;3,IF(NOT(OR(ISBLANK('Personnel Yr 3'!H53),'Personnel Yr 3'!H53="")),(('Personnel Yr 3'!H53*'Personnel Yr 1'!$D$5)+'Personnel Yr 3'!H53),""),"")</f>
        <v/>
      </c>
      <c r="I53" s="22" t="str">
        <f>IF('Personnel Yr 1'!$J$5&gt;3,IF(AND(OR(ISBLANK(H53),H53=""),ISBLANK('Personnel Yr 3'!I53)),"",'Personnel Yr 3'!I53),"")</f>
        <v/>
      </c>
      <c r="J53" s="22" t="str">
        <f>IF('Personnel Yr 1'!$J$5&gt;3,IF(AND(OR(ISBLANK(I53),I53=""),ISBLANK('Personnel Yr 3'!J53)),"",'Personnel Yr 3'!J53),"")</f>
        <v/>
      </c>
      <c r="K53" s="22" t="str">
        <f>IF('Personnel Yr 1'!$J$5&gt;3,IF(AND(OR(ISBLANK(J53),J53=""),ISBLANK('Personnel Yr 3'!K53)),"",'Personnel Yr 3'!K53),"")</f>
        <v/>
      </c>
      <c r="L53" s="44" t="str">
        <f>IF('Personnel Yr 1'!$J$5&gt;3,IF(NOT(OR(ISBLANK(H53),H53="")),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1'!$J$5&gt;3,IF(OR(ISBLANK(L53),L53=""),"",ROUND(SUM(T53:V53),2)),"")</f>
        <v/>
      </c>
      <c r="N53" s="51" t="str">
        <f>IF('Personnel Yr 1'!$J$5&gt;3,IF(OR(ISBLANK(M53),M53=""),"",ROUND(SUM(L53:M53),2)),"")</f>
        <v/>
      </c>
      <c r="O53" s="159"/>
      <c r="P53" s="336">
        <f>IF('Personnel Yr 1'!$J$5&gt;3,IF(NOT(OR(ISBLANK(I53),I53="")),(H53/12)*I53,""),0)</f>
        <v>0</v>
      </c>
      <c r="Q53" s="337">
        <f>IF('Personnel Yr 1'!$J$5&gt;3,IF(NOT(OR(ISBLANK(J53),J53="")),(H53/8.5)*J53,""),0)</f>
        <v>0</v>
      </c>
      <c r="R53" s="336">
        <f>IF('Personnel Yr 1'!$J$5&gt;3,IF(NOT(OR(ISBLANK(K53),K53="")),(H53/8.5)*K53,""),0)</f>
        <v>0</v>
      </c>
      <c r="T53" s="336">
        <f t="shared" si="3"/>
        <v>0</v>
      </c>
      <c r="U53" s="336">
        <f t="shared" si="4"/>
        <v>0</v>
      </c>
      <c r="V53" s="336">
        <f t="shared" si="5"/>
        <v>0</v>
      </c>
      <c r="X53" s="336">
        <v>53</v>
      </c>
      <c r="Y53" s="336" t="b">
        <f>IF('Personnel Yr 1'!$J$5&gt;3,IF(OR($N$5&lt;&gt;"Federal - NIH",OR(AND(ISBLANK(I53),ISBLANK(J53),ISBLANK(K53)),AND(I53="",J53="",K53=""))),FALSE,IF(I53&gt;0,H53&gt;NIHSalaryCap,H53&gt;(NIHSalaryCap*8.5)/12)),FALSE)</f>
        <v>0</v>
      </c>
    </row>
    <row r="54" spans="1:25" x14ac:dyDescent="0.2">
      <c r="A54" s="5">
        <v>11</v>
      </c>
      <c r="B54" s="6" t="str">
        <f>IF('Personnel Yr 1'!$J$5&gt;3,IF(NOT(OR(ISBLANK('Personnel Yr 3'!B54),'Personnel Yr 3'!B54="")),'Personnel Yr 3'!B54,""),"")</f>
        <v/>
      </c>
      <c r="C54" s="22" t="str">
        <f>IF('Personnel Yr 1'!$J$5&gt;3,IF(ISBLANK('Personnel Yr 3'!C54),"",'Personnel Yr 3'!C54),"")</f>
        <v/>
      </c>
      <c r="D54" s="22" t="str">
        <f>IF('Personnel Yr 1'!$J$5&gt;3,IF(ISBLANK('Personnel Yr 3'!D54),"",'Personnel Yr 3'!D54),"")</f>
        <v/>
      </c>
      <c r="E54" s="22" t="str">
        <f>IF('Personnel Yr 1'!$J$5&gt;3,IF(ISBLANK('Personnel Yr 3'!E54),"",'Personnel Yr 3'!E54),"")</f>
        <v/>
      </c>
      <c r="F54" s="22" t="str">
        <f>IF('Personnel Yr 1'!$J$5&gt;3,IF(ISBLANK('Personnel Yr 3'!F54),"",'Personnel Yr 3'!F54),"")</f>
        <v/>
      </c>
      <c r="G54" s="22" t="str">
        <f>IF('Personnel Yr 1'!$J$5&gt;3,IF(ISBLANK('Personnel Yr 3'!G54),"",'Personnel Yr 3'!G54),"")</f>
        <v/>
      </c>
      <c r="H54" s="42" t="str">
        <f>IF('Personnel Yr 1'!$J$5&gt;3,IF(NOT(OR(ISBLANK('Personnel Yr 3'!H54),'Personnel Yr 3'!H54="")),(('Personnel Yr 3'!H54*'Personnel Yr 1'!$D$5)+'Personnel Yr 3'!H54),""),"")</f>
        <v/>
      </c>
      <c r="I54" s="22" t="str">
        <f>IF('Personnel Yr 1'!$J$5&gt;3,IF(AND(OR(ISBLANK(H54),H54=""),ISBLANK('Personnel Yr 3'!I54)),"",'Personnel Yr 3'!I54),"")</f>
        <v/>
      </c>
      <c r="J54" s="22" t="str">
        <f>IF('Personnel Yr 1'!$J$5&gt;3,IF(AND(OR(ISBLANK(I54),I54=""),ISBLANK('Personnel Yr 3'!J54)),"",'Personnel Yr 3'!J54),"")</f>
        <v/>
      </c>
      <c r="K54" s="22" t="str">
        <f>IF('Personnel Yr 1'!$J$5&gt;3,IF(AND(OR(ISBLANK(J54),J54=""),ISBLANK('Personnel Yr 3'!K54)),"",'Personnel Yr 3'!K54),"")</f>
        <v/>
      </c>
      <c r="L54" s="44" t="str">
        <f>IF('Personnel Yr 1'!$J$5&gt;3,IF(NOT(OR(ISBLANK(H54),H54="")),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1'!$J$5&gt;3,IF(OR(ISBLANK(L54),L54=""),"",ROUND(SUM(T54:V54),2)),"")</f>
        <v/>
      </c>
      <c r="N54" s="51" t="str">
        <f>IF('Personnel Yr 1'!$J$5&gt;3,IF(OR(ISBLANK(M54),M54=""),"",ROUND(SUM(L54:M54),2)),"")</f>
        <v/>
      </c>
      <c r="O54" s="157"/>
      <c r="P54" s="336">
        <f>IF('Personnel Yr 1'!$J$5&gt;3,IF(NOT(OR(ISBLANK(I54),I54="")),(H54/12)*I54,""),0)</f>
        <v>0</v>
      </c>
      <c r="Q54" s="337">
        <f>IF('Personnel Yr 1'!$J$5&gt;3,IF(NOT(OR(ISBLANK(J54),J54="")),(H54/8.5)*J54,""),0)</f>
        <v>0</v>
      </c>
      <c r="R54" s="336">
        <f>IF('Personnel Yr 1'!$J$5&gt;3,IF(NOT(OR(ISBLANK(K54),K54="")),(H54/8.5)*K54,""),0)</f>
        <v>0</v>
      </c>
      <c r="T54" s="336">
        <f t="shared" si="3"/>
        <v>0</v>
      </c>
      <c r="U54" s="336">
        <f t="shared" si="4"/>
        <v>0</v>
      </c>
      <c r="V54" s="336">
        <f t="shared" si="5"/>
        <v>0</v>
      </c>
      <c r="X54" s="336">
        <v>54</v>
      </c>
      <c r="Y54" s="336" t="b">
        <f>IF('Personnel Yr 1'!$J$5&gt;3,IF(OR($N$5&lt;&gt;"Federal - NIH",OR(AND(ISBLANK(I54),ISBLANK(J54),ISBLANK(K54)),AND(I54="",J54="",K54=""))),FALSE,IF(I54&gt;0,H54&gt;NIHSalaryCap,H54&gt;(NIHSalaryCap*8.5)/12)),FALSE)</f>
        <v>0</v>
      </c>
    </row>
    <row r="55" spans="1:25" x14ac:dyDescent="0.2">
      <c r="A55" s="5">
        <v>12</v>
      </c>
      <c r="B55" s="6" t="str">
        <f>IF('Personnel Yr 1'!$J$5&gt;3,IF(NOT(OR(ISBLANK('Personnel Yr 3'!B55),'Personnel Yr 3'!B55="")),'Personnel Yr 3'!B55,""),"")</f>
        <v/>
      </c>
      <c r="C55" s="22" t="str">
        <f>IF('Personnel Yr 1'!$J$5&gt;3,IF(ISBLANK('Personnel Yr 3'!C55),"",'Personnel Yr 3'!C55),"")</f>
        <v/>
      </c>
      <c r="D55" s="22" t="str">
        <f>IF('Personnel Yr 1'!$J$5&gt;3,IF(ISBLANK('Personnel Yr 3'!D55),"",'Personnel Yr 3'!D55),"")</f>
        <v/>
      </c>
      <c r="E55" s="22" t="str">
        <f>IF('Personnel Yr 1'!$J$5&gt;3,IF(ISBLANK('Personnel Yr 3'!E55),"",'Personnel Yr 3'!E55),"")</f>
        <v/>
      </c>
      <c r="F55" s="22" t="str">
        <f>IF('Personnel Yr 1'!$J$5&gt;3,IF(ISBLANK('Personnel Yr 3'!F55),"",'Personnel Yr 3'!F55),"")</f>
        <v/>
      </c>
      <c r="G55" s="22" t="str">
        <f>IF('Personnel Yr 1'!$J$5&gt;3,IF(ISBLANK('Personnel Yr 3'!G55),"",'Personnel Yr 3'!G55),"")</f>
        <v/>
      </c>
      <c r="H55" s="42" t="str">
        <f>IF('Personnel Yr 1'!$J$5&gt;3,IF(NOT(OR(ISBLANK('Personnel Yr 3'!H55),'Personnel Yr 3'!H55="")),(('Personnel Yr 3'!H55*'Personnel Yr 1'!$D$5)+'Personnel Yr 3'!H55),""),"")</f>
        <v/>
      </c>
      <c r="I55" s="22" t="str">
        <f>IF('Personnel Yr 1'!$J$5&gt;3,IF(AND(OR(ISBLANK(H55),H55=""),ISBLANK('Personnel Yr 3'!I55)),"",'Personnel Yr 3'!I55),"")</f>
        <v/>
      </c>
      <c r="J55" s="22" t="str">
        <f>IF('Personnel Yr 1'!$J$5&gt;3,IF(AND(OR(ISBLANK(I55),I55=""),ISBLANK('Personnel Yr 3'!J55)),"",'Personnel Yr 3'!J55),"")</f>
        <v/>
      </c>
      <c r="K55" s="22" t="str">
        <f>IF('Personnel Yr 1'!$J$5&gt;3,IF(AND(OR(ISBLANK(J55),J55=""),ISBLANK('Personnel Yr 3'!K55)),"",'Personnel Yr 3'!K55),"")</f>
        <v/>
      </c>
      <c r="L55" s="44" t="str">
        <f>IF('Personnel Yr 1'!$J$5&gt;3,IF(NOT(OR(ISBLANK(H55),H55="")),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1'!$J$5&gt;3,IF(OR(ISBLANK(L55),L55=""),"",ROUND(SUM(T55:V55),2)),"")</f>
        <v/>
      </c>
      <c r="N55" s="51" t="str">
        <f>IF('Personnel Yr 1'!$J$5&gt;3,IF(OR(ISBLANK(M55),M55=""),"",ROUND(SUM(L55:M55),2)),"")</f>
        <v/>
      </c>
      <c r="O55" s="159"/>
      <c r="P55" s="336">
        <f>IF('Personnel Yr 1'!$J$5&gt;3,IF(NOT(OR(ISBLANK(I55),I55="")),(H55/12)*I55,""),0)</f>
        <v>0</v>
      </c>
      <c r="Q55" s="337">
        <f>IF('Personnel Yr 1'!$J$5&gt;3,IF(NOT(OR(ISBLANK(J55),J55="")),(H55/8.5)*J55,""),0)</f>
        <v>0</v>
      </c>
      <c r="R55" s="336">
        <f>IF('Personnel Yr 1'!$J$5&gt;3,IF(NOT(OR(ISBLANK(K55),K55="")),(H55/8.5)*K55,""),0)</f>
        <v>0</v>
      </c>
      <c r="T55" s="336">
        <f t="shared" si="3"/>
        <v>0</v>
      </c>
      <c r="U55" s="336">
        <f t="shared" si="4"/>
        <v>0</v>
      </c>
      <c r="V55" s="336">
        <f t="shared" si="5"/>
        <v>0</v>
      </c>
      <c r="X55" s="336">
        <v>55</v>
      </c>
      <c r="Y55" s="336" t="b">
        <f>IF('Personnel Yr 1'!$J$5&gt;3,IF(OR($N$5&lt;&gt;"Federal - NIH",OR(AND(ISBLANK(I55),ISBLANK(J55),ISBLANK(K55)),AND(I55="",J55="",K55=""))),FALSE,IF(I55&gt;0,H55&gt;NIHSalaryCap,H55&gt;(NIHSalaryCap*8.5)/12)),FALSE)</f>
        <v>0</v>
      </c>
    </row>
    <row r="56" spans="1:25" x14ac:dyDescent="0.2">
      <c r="A56" s="5">
        <v>13</v>
      </c>
      <c r="B56" s="75" t="str">
        <f>IF('Personnel Yr 1'!$J$5&gt;3,IF(NOT(OR(ISBLANK('Personnel Yr 3'!B56),'Personnel Yr 3'!B56="")),'Personnel Yr 3'!B56,""),"")</f>
        <v/>
      </c>
      <c r="C56" s="69" t="str">
        <f>IF('Personnel Yr 1'!$J$5&gt;3,IF(ISBLANK('Personnel Yr 3'!C56),"",'Personnel Yr 3'!C56),"")</f>
        <v/>
      </c>
      <c r="D56" s="69" t="str">
        <f>IF('Personnel Yr 1'!$J$5&gt;3,IF(ISBLANK('Personnel Yr 3'!D56),"",'Personnel Yr 3'!D56),"")</f>
        <v/>
      </c>
      <c r="E56" s="69" t="str">
        <f>IF('Personnel Yr 1'!$J$5&gt;3,IF(ISBLANK('Personnel Yr 3'!E56),"",'Personnel Yr 3'!E56),"")</f>
        <v/>
      </c>
      <c r="F56" s="69" t="str">
        <f>IF('Personnel Yr 1'!$J$5&gt;3,IF(ISBLANK('Personnel Yr 3'!F56),"",'Personnel Yr 3'!F56),"")</f>
        <v/>
      </c>
      <c r="G56" s="69" t="str">
        <f>IF('Personnel Yr 1'!$J$5&gt;3,IF(ISBLANK('Personnel Yr 3'!G56),"",'Personnel Yr 3'!G56),"")</f>
        <v/>
      </c>
      <c r="H56" s="42" t="str">
        <f>IF('Personnel Yr 1'!$J$5&gt;3,IF(NOT(OR(ISBLANK('Personnel Yr 3'!H56),'Personnel Yr 3'!H56="")),(('Personnel Yr 3'!H56*'Personnel Yr 1'!$D$5)+'Personnel Yr 3'!H56),""),"")</f>
        <v/>
      </c>
      <c r="I56" s="22" t="str">
        <f>IF('Personnel Yr 1'!$J$5&gt;3,IF(AND(OR(ISBLANK(H56),H56=""),ISBLANK('Personnel Yr 3'!I56)),"",'Personnel Yr 3'!I56),"")</f>
        <v/>
      </c>
      <c r="J56" s="22" t="str">
        <f>IF('Personnel Yr 1'!$J$5&gt;3,IF(AND(OR(ISBLANK(I56),I56=""),ISBLANK('Personnel Yr 3'!J56)),"",'Personnel Yr 3'!J56),"")</f>
        <v/>
      </c>
      <c r="K56" s="22" t="str">
        <f>IF('Personnel Yr 1'!$J$5&gt;3,IF(AND(OR(ISBLANK(J56),J56=""),ISBLANK('Personnel Yr 3'!K56)),"",'Personnel Yr 3'!K56),"")</f>
        <v/>
      </c>
      <c r="L56" s="44" t="str">
        <f>IF('Personnel Yr 1'!$J$5&gt;3,IF(NOT(OR(ISBLANK(H56),H56="")),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1'!$J$5&gt;3,IF(OR(ISBLANK(L56),L56=""),"",ROUND(SUM(T56:V56),2)),"")</f>
        <v/>
      </c>
      <c r="N56" s="50" t="str">
        <f>IF('Personnel Yr 1'!$J$5&gt;3,IF(OR(ISBLANK(M56),M56=""),"",ROUND(SUM(L56:M56),2)),"")</f>
        <v/>
      </c>
      <c r="O56" s="182"/>
      <c r="P56" s="336">
        <f>IF('Personnel Yr 1'!$J$5&gt;3,IF(NOT(OR(ISBLANK(I56),I56="")),(H56/12)*I56,""),0)</f>
        <v>0</v>
      </c>
      <c r="Q56" s="337">
        <f>IF('Personnel Yr 1'!$J$5&gt;3,IF(NOT(OR(ISBLANK(J56),J56="")),(H56/8.5)*J56,""),0)</f>
        <v>0</v>
      </c>
      <c r="R56" s="336">
        <f>IF('Personnel Yr 1'!$J$5&gt;3,IF(NOT(OR(ISBLANK(K56),K56="")),(H56/8.5)*K56,""),0)</f>
        <v>0</v>
      </c>
      <c r="T56" s="336">
        <f t="shared" si="3"/>
        <v>0</v>
      </c>
      <c r="U56" s="336">
        <f t="shared" si="4"/>
        <v>0</v>
      </c>
      <c r="V56" s="336">
        <f t="shared" si="5"/>
        <v>0</v>
      </c>
      <c r="X56" s="336">
        <v>56</v>
      </c>
      <c r="Y56" s="336" t="b">
        <f>IF('Personnel Yr 1'!$J$5&gt;3,IF(OR($N$5&lt;&gt;"Federal - NIH",OR(AND(ISBLANK(I56),ISBLANK(J56),ISBLANK(K56)),AND(I56="",J56="",K56=""))),FALSE,IF(I56&gt;0,H56&gt;NIHSalaryCap,H56&gt;(NIHSalaryCap*8.5)/12)),FALSE)</f>
        <v>0</v>
      </c>
    </row>
    <row r="57" spans="1:25" x14ac:dyDescent="0.2">
      <c r="A57" s="5">
        <v>14</v>
      </c>
      <c r="B57" s="6" t="str">
        <f>IF('Personnel Yr 1'!$J$5&gt;3,IF(NOT(OR(ISBLANK('Personnel Yr 3'!B57),'Personnel Yr 3'!B57="")),'Personnel Yr 3'!B57,""),"")</f>
        <v/>
      </c>
      <c r="C57" s="22" t="str">
        <f>IF('Personnel Yr 1'!$J$5&gt;3,IF(ISBLANK('Personnel Yr 3'!C57),"",'Personnel Yr 3'!C57),"")</f>
        <v/>
      </c>
      <c r="D57" s="22" t="str">
        <f>IF('Personnel Yr 1'!$J$5&gt;3,IF(ISBLANK('Personnel Yr 3'!D57),"",'Personnel Yr 3'!D57),"")</f>
        <v/>
      </c>
      <c r="E57" s="22" t="str">
        <f>IF('Personnel Yr 1'!$J$5&gt;3,IF(ISBLANK('Personnel Yr 3'!E57),"",'Personnel Yr 3'!E57),"")</f>
        <v/>
      </c>
      <c r="F57" s="22" t="str">
        <f>IF('Personnel Yr 1'!$J$5&gt;3,IF(ISBLANK('Personnel Yr 3'!F57),"",'Personnel Yr 3'!F57),"")</f>
        <v/>
      </c>
      <c r="G57" s="22" t="str">
        <f>IF('Personnel Yr 1'!$J$5&gt;3,IF(ISBLANK('Personnel Yr 3'!G57),"",'Personnel Yr 3'!G57),"")</f>
        <v/>
      </c>
      <c r="H57" s="42" t="str">
        <f>IF('Personnel Yr 1'!$J$5&gt;3,IF(NOT(OR(ISBLANK('Personnel Yr 3'!H57),'Personnel Yr 3'!H57="")),(('Personnel Yr 3'!H57*'Personnel Yr 1'!$D$5)+'Personnel Yr 3'!H57),""),"")</f>
        <v/>
      </c>
      <c r="I57" s="22" t="str">
        <f>IF('Personnel Yr 1'!$J$5&gt;3,IF(AND(OR(ISBLANK(H57),H57=""),ISBLANK('Personnel Yr 3'!I57)),"",'Personnel Yr 3'!I57),"")</f>
        <v/>
      </c>
      <c r="J57" s="22" t="str">
        <f>IF('Personnel Yr 1'!$J$5&gt;3,IF(AND(OR(ISBLANK(I57),I57=""),ISBLANK('Personnel Yr 3'!J57)),"",'Personnel Yr 3'!J57),"")</f>
        <v/>
      </c>
      <c r="K57" s="22" t="str">
        <f>IF('Personnel Yr 1'!$J$5&gt;3,IF(AND(OR(ISBLANK(J57),J57=""),ISBLANK('Personnel Yr 3'!K57)),"",'Personnel Yr 3'!K57),"")</f>
        <v/>
      </c>
      <c r="L57" s="44" t="str">
        <f>IF('Personnel Yr 1'!$J$5&gt;3,IF(NOT(OR(ISBLANK(H57),H57="")),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1'!$J$5&gt;3,IF(OR(ISBLANK(L57),L57=""),"",ROUND(SUM(T57:V57),2)),"")</f>
        <v/>
      </c>
      <c r="N57" s="51" t="str">
        <f>IF('Personnel Yr 1'!$J$5&gt;3,IF(OR(ISBLANK(M57),M57=""),"",ROUND(SUM(L57:M57),2)),"")</f>
        <v/>
      </c>
      <c r="O57" s="157"/>
      <c r="P57" s="336">
        <f>IF('Personnel Yr 1'!$J$5&gt;3,IF(NOT(OR(ISBLANK(I57),I57="")),(H57/12)*I57,""),0)</f>
        <v>0</v>
      </c>
      <c r="Q57" s="337">
        <f>IF('Personnel Yr 1'!$J$5&gt;3,IF(NOT(OR(ISBLANK(J57),J57="")),(H57/8.5)*J57,""),0)</f>
        <v>0</v>
      </c>
      <c r="R57" s="336">
        <f>IF('Personnel Yr 1'!$J$5&gt;3,IF(NOT(OR(ISBLANK(K57),K57="")),(H57/8.5)*K57,""),0)</f>
        <v>0</v>
      </c>
      <c r="T57" s="336">
        <f t="shared" si="3"/>
        <v>0</v>
      </c>
      <c r="U57" s="336">
        <f t="shared" si="4"/>
        <v>0</v>
      </c>
      <c r="V57" s="336">
        <f t="shared" si="5"/>
        <v>0</v>
      </c>
      <c r="X57" s="336">
        <v>57</v>
      </c>
      <c r="Y57" s="336" t="b">
        <f>IF('Personnel Yr 1'!$J$5&gt;3,IF(OR($N$5&lt;&gt;"Federal - NIH",OR(AND(ISBLANK(I57),ISBLANK(J57),ISBLANK(K57)),AND(I57="",J57="",K57=""))),FALSE,IF(I57&gt;0,H57&gt;NIHSalaryCap,H57&gt;(NIHSalaryCap*8.5)/12)),FALSE)</f>
        <v>0</v>
      </c>
    </row>
    <row r="58" spans="1:25" ht="13.5" thickBot="1" x14ac:dyDescent="0.25">
      <c r="A58" s="5">
        <v>15</v>
      </c>
      <c r="B58" s="175" t="str">
        <f>IF('Personnel Yr 1'!$J$5&gt;3,IF(NOT(OR(ISBLANK('Personnel Yr 3'!B58),'Personnel Yr 3'!B58="")),'Personnel Yr 3'!B58,""),"")</f>
        <v/>
      </c>
      <c r="C58" s="29" t="str">
        <f>IF('Personnel Yr 1'!$J$5&gt;3,IF(ISBLANK('Personnel Yr 3'!C58),"",'Personnel Yr 3'!C58),"")</f>
        <v/>
      </c>
      <c r="D58" s="29" t="str">
        <f>IF('Personnel Yr 1'!$J$5&gt;3,IF(ISBLANK('Personnel Yr 3'!D58),"",'Personnel Yr 3'!D58),"")</f>
        <v/>
      </c>
      <c r="E58" s="29" t="str">
        <f>IF('Personnel Yr 1'!$J$5&gt;3,IF(ISBLANK('Personnel Yr 3'!E58),"",'Personnel Yr 3'!E58),"")</f>
        <v/>
      </c>
      <c r="F58" s="29" t="str">
        <f>IF('Personnel Yr 1'!$J$5&gt;3,IF(ISBLANK('Personnel Yr 3'!F58),"",'Personnel Yr 3'!F58),"")</f>
        <v/>
      </c>
      <c r="G58" s="179" t="str">
        <f>IF('Personnel Yr 1'!$J$5&gt;3,IF(ISBLANK('Personnel Yr 3'!G58),"",'Personnel Yr 3'!G58),"")</f>
        <v/>
      </c>
      <c r="H58" s="43" t="str">
        <f>IF('Personnel Yr 1'!$J$5&gt;3,IF(NOT(OR(ISBLANK('Personnel Yr 3'!H58),'Personnel Yr 3'!H58="")),(('Personnel Yr 3'!H58*'Personnel Yr 1'!$D$5)+'Personnel Yr 3'!H58),""),"")</f>
        <v/>
      </c>
      <c r="I58" s="29" t="str">
        <f>IF('Personnel Yr 1'!$J$5&gt;3,IF(AND(OR(ISBLANK(H58),H58=""),ISBLANK('Personnel Yr 3'!I58)),"",'Personnel Yr 3'!I58),"")</f>
        <v/>
      </c>
      <c r="J58" s="29" t="str">
        <f>IF('Personnel Yr 1'!$J$5&gt;3,IF(AND(OR(ISBLANK(I58),I58=""),ISBLANK('Personnel Yr 3'!J58)),"",'Personnel Yr 3'!J58),"")</f>
        <v/>
      </c>
      <c r="K58" s="29" t="str">
        <f>IF('Personnel Yr 1'!$J$5&gt;3,IF(AND(OR(ISBLANK(J58),J58=""),ISBLANK('Personnel Yr 3'!K58)),"",'Personnel Yr 3'!K58),"")</f>
        <v/>
      </c>
      <c r="L58" s="52" t="str">
        <f>IF('Personnel Yr 1'!$J$5&gt;3,IF(NOT(OR(ISBLANK(H58),H58="")),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1'!$J$5&gt;3,IF(OR(ISBLANK(L58),L58=""),"",ROUND(SUM(T58:V58),2)),"")</f>
        <v/>
      </c>
      <c r="N58" s="181" t="str">
        <f>IF('Personnel Yr 1'!$J$5&gt;3,IF(OR(ISBLANK(M58),M58=""),"",ROUND(SUM(L58:M58),2)),"")</f>
        <v/>
      </c>
      <c r="O58" s="161"/>
      <c r="P58" s="336">
        <f>IF('Personnel Yr 1'!$J$5&gt;3,IF(NOT(OR(ISBLANK(I58),I58="")),(H58/12)*I58,""),0)</f>
        <v>0</v>
      </c>
      <c r="Q58" s="337">
        <f>IF('Personnel Yr 1'!$J$5&gt;3,IF(NOT(OR(ISBLANK(J58),J58="")),(H58/8.5)*J58,""),0)</f>
        <v>0</v>
      </c>
      <c r="R58" s="336">
        <f>IF('Personnel Yr 1'!$J$5&gt;3,IF(NOT(OR(ISBLANK(K58),K58="")),(H58/8.5)*K58,""),0)</f>
        <v>0</v>
      </c>
      <c r="T58" s="336">
        <f t="shared" si="3"/>
        <v>0</v>
      </c>
      <c r="U58" s="336">
        <f t="shared" si="4"/>
        <v>0</v>
      </c>
      <c r="V58" s="336">
        <f t="shared" si="5"/>
        <v>0</v>
      </c>
      <c r="X58" s="336">
        <v>58</v>
      </c>
      <c r="Y58" s="336" t="b">
        <f>IF('Personnel Yr 1'!$J$5&gt;3,IF(OR($N$5&lt;&gt;"Federal - NIH",OR(AND(ISBLANK(I58),ISBLANK(J58),ISBLANK(K58)),AND(I58="",J58="",K58=""))),FALSE,IF(I58&gt;0,H58&gt;NIHSalaryCap,H58&gt;(NIHSalaryCap*8.5)/12)),FALSE)</f>
        <v>0</v>
      </c>
    </row>
    <row r="59" spans="1:25" ht="13.5" thickBot="1" x14ac:dyDescent="0.25">
      <c r="B59" s="27">
        <f>ROWS(E44:E58)-COUNTIF(E44:E58,"")</f>
        <v>0</v>
      </c>
      <c r="N59" s="56">
        <f>SUM(N44:N58)</f>
        <v>0</v>
      </c>
      <c r="P59" s="336">
        <f>SUM(P44:P58)</f>
        <v>0</v>
      </c>
      <c r="Q59" s="336">
        <f t="shared" ref="Q59:V59" si="6">SUM(Q44:Q58)</f>
        <v>0</v>
      </c>
      <c r="R59" s="336">
        <f t="shared" si="6"/>
        <v>0</v>
      </c>
      <c r="S59" s="336">
        <f t="shared" si="6"/>
        <v>0</v>
      </c>
      <c r="T59" s="336">
        <f t="shared" si="6"/>
        <v>0</v>
      </c>
      <c r="U59" s="336">
        <f t="shared" si="6"/>
        <v>0</v>
      </c>
      <c r="V59" s="336">
        <f t="shared" si="6"/>
        <v>0</v>
      </c>
    </row>
  </sheetData>
  <sheetProtection algorithmName="SHA-512" hashValue="mVG3JDjZSfw48DUWI/gW3eruLzioGqbKbZtIJ9uMCnsAJG1opSFD3iP67cCnMnKGmDu0zqec+n2dpYn3zALj3g==" saltValue="gE+ze5ujwZRrtJg9Gg0Hqg==" spinCount="100000" sheet="1" objects="1" scenarios="1"/>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6">
    <cfRule type="cellIs" dxfId="17" priority="29" stopIfTrue="1" operator="lessThan">
      <formula>1</formula>
    </cfRule>
  </conditionalFormatting>
  <conditionalFormatting sqref="H23">
    <cfRule type="cellIs" dxfId="16" priority="30" stopIfTrue="1" operator="equal">
      <formula>""</formula>
    </cfRule>
  </conditionalFormatting>
  <conditionalFormatting sqref="L27:L28">
    <cfRule type="cellIs" dxfId="15" priority="27" stopIfTrue="1" operator="lessThan">
      <formula>1</formula>
    </cfRule>
  </conditionalFormatting>
  <conditionalFormatting sqref="H7:H14">
    <cfRule type="expression" dxfId="14" priority="2">
      <formula>$Y$7</formula>
    </cfRule>
  </conditionalFormatting>
  <conditionalFormatting sqref="H44:H58">
    <cfRule type="expression" dxfId="13" priority="1">
      <formula>$Y$7</formula>
    </cfRule>
  </conditionalFormatting>
  <dataValidations count="3">
    <dataValidation type="list" allowBlank="1" showInputMessage="1" showErrorMessage="1" sqref="H23" xr:uid="{00000000-0002-0000-0400-000000000000}">
      <formula1>Grad</formula1>
    </dataValidation>
    <dataValidation type="list" allowBlank="1" showInputMessage="1" showErrorMessage="1" sqref="B7:B14 B44:B58" xr:uid="{00000000-0002-0000-0400-000001000000}">
      <formula1>Prefix</formula1>
    </dataValidation>
    <dataValidation type="list" allowBlank="1" showInputMessage="1" showErrorMessage="1" sqref="G7:G14 G44:G58" xr:uid="{00000000-0002-0000-0400-000002000000}">
      <formula1>Roles</formula1>
    </dataValidation>
  </dataValidations>
  <printOptions horizontalCentered="1"/>
  <pageMargins left="0.25" right="0.25" top="0.5" bottom="0.5" header="0.5" footer="0.5"/>
  <pageSetup scale="91" orientation="landscape" r:id="rId1"/>
  <headerFooter alignWithMargins="0">
    <oddFooter>&amp;RPrinted On: &amp;D &amp;T</oddFooter>
  </headerFooter>
  <colBreaks count="1" manualBreakCount="1">
    <brk id="14" max="1048575" man="1"/>
  </colBreaks>
  <ignoredErrors>
    <ignoredError sqref="N17:N20 B26:G26 H26 I26:K26 L29:L30 N25 N7:N14 N21:N24 H21:H25 B7:G14 L21:L22 M21:M24 B21:G22 I21:K25 L15:L20 I15:K20 B17:G20 M15:M20 H15:H20 N30 I29:K30 H29:H30 B29:G30 M29:M30 B45:G58 C15:G16 L26:L28 B44:G44 M44:N44 M45:N58 B24:G24 B23:C23 G23 L24:L25 B25 D25:G25" unlockedFormula="1"/>
    <ignoredError sqref="M25" formula="1" unlockedFormula="1"/>
    <ignoredError sqref="G35" evalError="1"/>
  </ignoredErrors>
  <extLst>
    <ext xmlns:x14="http://schemas.microsoft.com/office/spreadsheetml/2009/9/main" uri="{78C0D931-6437-407d-A8EE-F0AAD7539E65}">
      <x14:conditionalFormattings>
        <x14:conditionalFormatting xmlns:xm="http://schemas.microsoft.com/office/excel/2006/main">
          <x14:cfRule type="expression" priority="26" id="{5B2322C6-98D2-4054-AAB5-FAC2CC42DEF8}">
            <xm:f>IF('Personnel Yr 1'!N5="Federal - NIH",SUM('Non-personnel'!$N$41,$N$23)/IF(OR(ISBLANK($B$23),NOT(ISNUMBER($B$23))),1,$B$23)&gt;NIHGradLimit)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allowBlank="1" showInputMessage="1" showErrorMessage="1" errorTitle="Salary Cap Error" error="Base salary should remain under $185,100 for calandar appointments and $131,112 for academic appointments." xr:uid="{00000000-0002-0000-04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400-000004000000}">
          <x14:formula1>
            <xm:f>OR(AND('Personnel Yr 1'!N5="Federal - NIH",SUM('Non-personnel'!$N$41,$N$23)/IF(OR(ISBLANK(B23),NOT(ISNUMBER(B23))),1,B23)&lt;=NIHGradLimit),'Personnel Yr 1'!N5&lt;&gt;"Federal - NIH")</xm:f>
          </x14:formula1>
          <xm:sqref>L23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C59"/>
  <sheetViews>
    <sheetView zoomScaleNormal="100" workbookViewId="0">
      <selection activeCell="E39" sqref="E39"/>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5" width="9.140625" style="336"/>
    <col min="26" max="29" width="9.140625" style="338"/>
  </cols>
  <sheetData>
    <row r="1" spans="1:25" ht="18" x14ac:dyDescent="0.25">
      <c r="A1" s="561" t="s">
        <v>507</v>
      </c>
      <c r="B1" s="561"/>
      <c r="C1" s="561"/>
      <c r="D1" s="561"/>
      <c r="E1" s="561"/>
      <c r="F1" s="561"/>
      <c r="G1" s="561"/>
      <c r="H1" s="561"/>
      <c r="I1" s="561"/>
      <c r="J1" s="561"/>
      <c r="K1" s="561"/>
      <c r="L1" s="561"/>
      <c r="M1" s="561"/>
      <c r="N1" s="561"/>
    </row>
    <row r="2" spans="1:25" x14ac:dyDescent="0.2">
      <c r="A2" s="1"/>
      <c r="B2" s="1"/>
      <c r="C2" s="1"/>
      <c r="D2" s="1"/>
      <c r="E2" s="1"/>
      <c r="F2" s="1"/>
      <c r="G2" s="1"/>
      <c r="H2" s="1"/>
      <c r="I2" s="1"/>
      <c r="J2" s="1"/>
      <c r="K2" s="1"/>
      <c r="L2" s="1"/>
      <c r="M2" s="1"/>
      <c r="N2" s="1"/>
    </row>
    <row r="3" spans="1:25" ht="18" x14ac:dyDescent="0.25">
      <c r="A3" s="561" t="s">
        <v>81</v>
      </c>
      <c r="B3" s="561"/>
      <c r="C3" s="561"/>
      <c r="D3" s="561"/>
      <c r="E3" s="561"/>
      <c r="F3" s="561"/>
      <c r="G3" s="561"/>
      <c r="H3" s="561"/>
      <c r="I3" s="561"/>
      <c r="J3" s="561"/>
      <c r="K3" s="561"/>
      <c r="L3" s="561"/>
      <c r="M3" s="561"/>
      <c r="N3" s="561"/>
    </row>
    <row r="4" spans="1:25" ht="18" x14ac:dyDescent="0.25">
      <c r="A4" s="63"/>
      <c r="B4" s="63"/>
      <c r="C4" s="63"/>
      <c r="D4" s="63"/>
      <c r="E4" s="63"/>
      <c r="F4" s="63"/>
      <c r="G4" s="63"/>
      <c r="H4" s="63"/>
      <c r="I4" s="63"/>
      <c r="J4" s="63"/>
      <c r="K4" s="63"/>
      <c r="L4" s="63"/>
      <c r="M4" s="63"/>
      <c r="N4" s="63"/>
    </row>
    <row r="5" spans="1:25" ht="12.75" customHeight="1" x14ac:dyDescent="0.2">
      <c r="A5" s="2"/>
      <c r="B5" s="562" t="s">
        <v>5</v>
      </c>
      <c r="C5" s="562"/>
      <c r="D5" s="2"/>
      <c r="E5" s="2"/>
      <c r="F5" s="2"/>
      <c r="G5" s="2"/>
      <c r="H5" s="2"/>
      <c r="I5" s="2"/>
      <c r="J5" s="2"/>
      <c r="K5" s="2"/>
      <c r="L5" s="2"/>
      <c r="M5" s="2"/>
      <c r="N5" s="347" t="str">
        <f>'Personnel Yr 4'!N5</f>
        <v>Fnd/Prof Soc</v>
      </c>
      <c r="O5" s="9"/>
    </row>
    <row r="6" spans="1:25" ht="26.25" thickBot="1" x14ac:dyDescent="0.25">
      <c r="A6" s="2"/>
      <c r="B6" s="4"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T6" s="335" t="s">
        <v>66</v>
      </c>
      <c r="U6" s="335" t="s">
        <v>67</v>
      </c>
      <c r="V6" s="335" t="s">
        <v>68</v>
      </c>
      <c r="Y6" s="336" t="s">
        <v>464</v>
      </c>
    </row>
    <row r="7" spans="1:25" x14ac:dyDescent="0.2">
      <c r="A7" s="5">
        <v>1</v>
      </c>
      <c r="B7" s="75" t="str">
        <f>IF('Personnel Yr 1'!$J$5&gt;4,IF(NOT(OR(ISBLANK('Personnel Yr 4'!B7),'Personnel Yr 4'!B7="")),'Personnel Yr 4'!B7,""),"")</f>
        <v/>
      </c>
      <c r="C7" s="17" t="str">
        <f>IF('Personnel Yr 1'!$J$5&gt;4,IF(ISBLANK('Personnel Yr 4'!C7),"",'Personnel Yr 4'!C7),"")</f>
        <v/>
      </c>
      <c r="D7" s="17" t="str">
        <f>IF('Personnel Yr 1'!$J$5&gt;4,IF(ISBLANK('Personnel Yr 4'!D7),"",'Personnel Yr 4'!D7),"")</f>
        <v/>
      </c>
      <c r="E7" s="17" t="str">
        <f>IF('Personnel Yr 1'!$J$5&gt;4,IF(ISBLANK('Personnel Yr 4'!E7),"",'Personnel Yr 4'!E7),"")</f>
        <v/>
      </c>
      <c r="F7" s="17" t="str">
        <f>IF('Personnel Yr 1'!$J$5&gt;4,IF(ISBLANK('Personnel Yr 4'!F7),"",'Personnel Yr 4'!F7),"")</f>
        <v/>
      </c>
      <c r="G7" s="17" t="str">
        <f>IF('Personnel Yr 1'!$J$5&gt;4,IF(ISBLANK('Personnel Yr 4'!G7),"",'Personnel Yr 4'!G7),"")</f>
        <v/>
      </c>
      <c r="H7" s="177" t="str">
        <f>IF('Personnel Yr 1'!$J$5&gt;4,IF(NOT(OR(ISBLANK('Personnel Yr 4'!H7),'Personnel Yr 4'!H7="")),(('Personnel Yr 4'!H7*'Personnel Yr 1'!$D$5)+'Personnel Yr 4'!H7),""),"")</f>
        <v/>
      </c>
      <c r="I7" s="17" t="str">
        <f>IF('Personnel Yr 1'!$J$5&gt;4,IF(AND(OR(ISBLANK(H7),H7=""),ISBLANK('Personnel Yr 4'!I7)),"",'Personnel Yr 4'!I7),"")</f>
        <v/>
      </c>
      <c r="J7" s="17" t="str">
        <f>IF('Personnel Yr 1'!$J$5&gt;4,IF(AND(OR(ISBLANK(I7),I7=""),ISBLANK('Personnel Yr 4'!J7)),"",'Personnel Yr 4'!J7),"")</f>
        <v/>
      </c>
      <c r="K7" s="17" t="str">
        <f>IF('Personnel Yr 1'!$J$5&gt;4,IF(AND(OR(ISBLANK(J7),J7=""),ISBLANK('Personnel Yr 4'!K7)),"",'Personnel Yr 4'!K7),"")</f>
        <v/>
      </c>
      <c r="L7" s="45" t="str">
        <f>IF('Personnel Yr 1'!$J$5&gt;4,IF(NOT(OR(ISBLANK(H7),H7="")),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1'!$J$5&gt;4,IF(OR(ISBLANK(L7),L7=""),"",ROUND(SUM(T7:V7),2)),"")</f>
        <v/>
      </c>
      <c r="N7" s="46" t="str">
        <f>IF('Personnel Yr 1'!$J$5&gt;4,IF(OR(ISBLANK(M7),M7=""),"",ROUND(SUM(L7:M7),2)),"")</f>
        <v/>
      </c>
      <c r="O7" s="158"/>
      <c r="P7" s="336">
        <f>IF('Personnel Yr 1'!$J$5&gt;4,IF(NOT(OR(ISBLANK(I7),I7="")),(H7/12)*I7,""),0)</f>
        <v>0</v>
      </c>
      <c r="Q7" s="336">
        <f>IF('Personnel Yr 1'!$J$5&gt;4,IF(NOT(OR(ISBLANK(J7),J7="")),(H7/8.5)*J7,""),0)</f>
        <v>0</v>
      </c>
      <c r="R7" s="336">
        <f>IF('Personnel Yr 1'!$J$5&gt;4,IF(NOT(OR(ISBLANK(K7),K7="")),(H7/8.5)*K7,""),0)</f>
        <v>0</v>
      </c>
      <c r="T7" s="347">
        <f>IF(OR(ISBLANK(P7),P7=""),0,P7*LOOKUP("Full",Ben,Per))</f>
        <v>0</v>
      </c>
      <c r="U7" s="347">
        <f>IF(OR(ISBLANK(Q7),Q7=""),0,Q7*LOOKUP("Full",Ben,Per))</f>
        <v>0</v>
      </c>
      <c r="V7" s="347">
        <f>IF(OR(ISBLANK(R7),R7=""),0,R7*LOOKUP("Summer",Ben,Per))</f>
        <v>0</v>
      </c>
      <c r="X7" s="336">
        <v>7</v>
      </c>
      <c r="Y7" s="336" t="b">
        <f>IF('Personnel Yr 1'!$J$5&gt;4,IF(OR($N$5&lt;&gt;"Federal - NIH",OR(AND(ISBLANK(I7),ISBLANK(J7),ISBLANK(K7)),AND(I7="",J7="",K7=""))),FALSE,IF(I7&gt;0,H7&gt;NIHSalaryCap,H7&gt;(NIHSalaryCap*8.5)/12)),FALSE)</f>
        <v>0</v>
      </c>
    </row>
    <row r="8" spans="1:25" x14ac:dyDescent="0.2">
      <c r="A8" s="5">
        <v>2</v>
      </c>
      <c r="B8" s="6" t="str">
        <f>IF('Personnel Yr 1'!$J$5&gt;4,IF(NOT(OR(ISBLANK('Personnel Yr 4'!B8),'Personnel Yr 4'!B8="")),'Personnel Yr 4'!B8,""),"")</f>
        <v/>
      </c>
      <c r="C8" s="22" t="str">
        <f>IF('Personnel Yr 1'!$J$5&gt;4,IF(ISBLANK('Personnel Yr 4'!C8),"",'Personnel Yr 4'!C8),"")</f>
        <v/>
      </c>
      <c r="D8" s="22" t="str">
        <f>IF('Personnel Yr 1'!$J$5&gt;4,IF(ISBLANK('Personnel Yr 4'!D8),"",'Personnel Yr 4'!D8),"")</f>
        <v/>
      </c>
      <c r="E8" s="22" t="str">
        <f>IF('Personnel Yr 1'!$J$5&gt;4,IF(ISBLANK('Personnel Yr 4'!E8),"",'Personnel Yr 4'!E8),"")</f>
        <v/>
      </c>
      <c r="F8" s="22" t="str">
        <f>IF('Personnel Yr 1'!$J$5&gt;4,IF(ISBLANK('Personnel Yr 4'!F8),"",'Personnel Yr 4'!F8),"")</f>
        <v/>
      </c>
      <c r="G8" s="22" t="str">
        <f>IF('Personnel Yr 1'!$J$5&gt;4,IF(ISBLANK('Personnel Yr 4'!G8),"",'Personnel Yr 4'!G8),"")</f>
        <v/>
      </c>
      <c r="H8" s="42" t="str">
        <f>IF('Personnel Yr 1'!$J$5&gt;4,IF(NOT(OR(ISBLANK('Personnel Yr 4'!H8),'Personnel Yr 4'!H8="")),(('Personnel Yr 4'!H8*'Personnel Yr 1'!$D$5)+'Personnel Yr 4'!H8),""),"")</f>
        <v/>
      </c>
      <c r="I8" s="22" t="str">
        <f>IF('Personnel Yr 1'!$J$5&gt;4,IF(AND(OR(ISBLANK(H8),H8=""),ISBLANK('Personnel Yr 4'!I8)),"",'Personnel Yr 4'!I8),"")</f>
        <v/>
      </c>
      <c r="J8" s="22" t="str">
        <f>IF('Personnel Yr 1'!$J$5&gt;4,IF(AND(OR(ISBLANK(I8),I8=""),ISBLANK('Personnel Yr 4'!J8)),"",'Personnel Yr 4'!J8),"")</f>
        <v/>
      </c>
      <c r="K8" s="22" t="str">
        <f>IF('Personnel Yr 1'!$J$5&gt;4,IF(AND(OR(ISBLANK(J8),J8=""),ISBLANK('Personnel Yr 4'!K8)),"",'Personnel Yr 4'!K8),"")</f>
        <v/>
      </c>
      <c r="L8" s="44" t="str">
        <f>IF('Personnel Yr 1'!$J$5&gt;4,IF(NOT(OR(ISBLANK(H8),H8="")),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1'!$J$5&gt;4,IF(OR(ISBLANK(L8),L8=""),"",ROUND(SUM(T8:V8),2)),"")</f>
        <v/>
      </c>
      <c r="N8" s="51" t="str">
        <f>IF('Personnel Yr 1'!$J$5&gt;4,IF(OR(ISBLANK(M8),M8=""),"",ROUND(SUM(L8:M8),2)),"")</f>
        <v/>
      </c>
      <c r="O8" s="159"/>
      <c r="P8" s="336">
        <f>IF('Personnel Yr 1'!$J$5&gt;4,IF(NOT(OR(ISBLANK(I8),I8="")),(H8/12)*I8,""),0)</f>
        <v>0</v>
      </c>
      <c r="Q8" s="336">
        <f>IF('Personnel Yr 1'!$J$5&gt;4,IF(NOT(OR(ISBLANK(J8),J8="")),(H8/8.5)*J8,""),0)</f>
        <v>0</v>
      </c>
      <c r="R8" s="336">
        <f>IF('Personnel Yr 1'!$J$5&gt;4,IF(NOT(OR(ISBLANK(K8),K8="")),(H8/8.5)*K8,""),0)</f>
        <v>0</v>
      </c>
      <c r="T8" s="347">
        <f t="shared" ref="T8:U14" si="0">IF(OR(ISBLANK(P8),P8=""),0,P8*LOOKUP("Full",Ben,Per))</f>
        <v>0</v>
      </c>
      <c r="U8" s="347">
        <f t="shared" si="0"/>
        <v>0</v>
      </c>
      <c r="V8" s="347">
        <f t="shared" ref="V8:V14" si="1">IF(OR(ISBLANK(R8),R8=""),0,R8*LOOKUP("Summer",Ben,Per))</f>
        <v>0</v>
      </c>
      <c r="X8" s="336">
        <v>8</v>
      </c>
      <c r="Y8" s="336" t="b">
        <f>IF('Personnel Yr 1'!$J$5&gt;4,IF(OR($N$5&lt;&gt;"Federal - NIH",OR(AND(ISBLANK(I8),ISBLANK(J8),ISBLANK(K8)),AND(I8="",J8="",K8=""))),FALSE,IF(I8&gt;0,H8&gt;NIHSalaryCap,H8&gt;(NIHSalaryCap*8.5)/12)),FALSE)</f>
        <v>0</v>
      </c>
    </row>
    <row r="9" spans="1:25" x14ac:dyDescent="0.2">
      <c r="A9" s="5">
        <v>3</v>
      </c>
      <c r="B9" s="6" t="str">
        <f>IF('Personnel Yr 1'!$J$5&gt;4,IF(NOT(OR(ISBLANK('Personnel Yr 4'!B9),'Personnel Yr 4'!B9="")),'Personnel Yr 4'!B9,""),"")</f>
        <v/>
      </c>
      <c r="C9" s="22" t="str">
        <f>IF('Personnel Yr 1'!$J$5&gt;4,IF(ISBLANK('Personnel Yr 4'!C9),"",'Personnel Yr 4'!C9),"")</f>
        <v/>
      </c>
      <c r="D9" s="22" t="str">
        <f>IF('Personnel Yr 1'!$J$5&gt;4,IF(ISBLANK('Personnel Yr 4'!D9),"",'Personnel Yr 4'!D9),"")</f>
        <v/>
      </c>
      <c r="E9" s="22" t="str">
        <f>IF('Personnel Yr 1'!$J$5&gt;4,IF(ISBLANK('Personnel Yr 4'!E9),"",'Personnel Yr 4'!E9),"")</f>
        <v/>
      </c>
      <c r="F9" s="22" t="str">
        <f>IF('Personnel Yr 1'!$J$5&gt;4,IF(ISBLANK('Personnel Yr 4'!F9),"",'Personnel Yr 4'!F9),"")</f>
        <v/>
      </c>
      <c r="G9" s="22" t="str">
        <f>IF('Personnel Yr 1'!$J$5&gt;4,IF(ISBLANK('Personnel Yr 4'!G9),"",'Personnel Yr 4'!G9),"")</f>
        <v/>
      </c>
      <c r="H9" s="42" t="str">
        <f>IF('Personnel Yr 1'!$J$5&gt;4,IF(NOT(OR(ISBLANK('Personnel Yr 4'!H9),'Personnel Yr 4'!H9="")),(('Personnel Yr 4'!H9*'Personnel Yr 1'!$D$5)+'Personnel Yr 4'!H9),""),"")</f>
        <v/>
      </c>
      <c r="I9" s="22" t="str">
        <f>IF('Personnel Yr 1'!$J$5&gt;4,IF(AND(OR(ISBLANK(H9),H9=""),ISBLANK('Personnel Yr 4'!I9)),"",'Personnel Yr 4'!I9),"")</f>
        <v/>
      </c>
      <c r="J9" s="22" t="str">
        <f>IF('Personnel Yr 1'!$J$5&gt;4,IF(AND(OR(ISBLANK(I9),I9=""),ISBLANK('Personnel Yr 4'!J9)),"",'Personnel Yr 4'!J9),"")</f>
        <v/>
      </c>
      <c r="K9" s="22" t="str">
        <f>IF('Personnel Yr 1'!$J$5&gt;4,IF(AND(OR(ISBLANK(J9),J9=""),ISBLANK('Personnel Yr 4'!K9)),"",'Personnel Yr 4'!K9),"")</f>
        <v/>
      </c>
      <c r="L9" s="44" t="str">
        <f>IF('Personnel Yr 1'!$J$5&gt;4,IF(NOT(OR(ISBLANK(H9),H9="")),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1'!$J$5&gt;4,IF(OR(ISBLANK(L9),L9=""),"",ROUND(SUM(T9:V9),2)),"")</f>
        <v/>
      </c>
      <c r="N9" s="51" t="str">
        <f>IF('Personnel Yr 1'!$J$5&gt;4,IF(OR(ISBLANK(M9),M9=""),"",ROUND(SUM(L9:M9),2)),"")</f>
        <v/>
      </c>
      <c r="O9" s="157"/>
      <c r="P9" s="336">
        <f>IF('Personnel Yr 1'!$J$5&gt;4,IF(NOT(OR(ISBLANK(I9),I9="")),(H9/12)*I9,""),0)</f>
        <v>0</v>
      </c>
      <c r="Q9" s="336">
        <f>IF('Personnel Yr 1'!$J$5&gt;4,IF(NOT(OR(ISBLANK(J9),J9="")),(H9/8.5)*J9,""),0)</f>
        <v>0</v>
      </c>
      <c r="R9" s="336">
        <f>IF('Personnel Yr 1'!$J$5&gt;4,IF(NOT(OR(ISBLANK(K9),K9="")),(H9/8.5)*K9,""),0)</f>
        <v>0</v>
      </c>
      <c r="T9" s="347">
        <f t="shared" si="0"/>
        <v>0</v>
      </c>
      <c r="U9" s="347">
        <f t="shared" si="0"/>
        <v>0</v>
      </c>
      <c r="V9" s="347">
        <f t="shared" si="1"/>
        <v>0</v>
      </c>
      <c r="X9" s="336">
        <v>9</v>
      </c>
      <c r="Y9" s="336" t="b">
        <f>IF('Personnel Yr 1'!$J$5&gt;4,IF(OR($N$5&lt;&gt;"Federal - NIH",OR(AND(ISBLANK(I9),ISBLANK(J9),ISBLANK(K9)),AND(I9="",J9="",K9=""))),FALSE,IF(I9&gt;0,H9&gt;NIHSalaryCap,H9&gt;(NIHSalaryCap*8.5)/12)),FALSE)</f>
        <v>0</v>
      </c>
    </row>
    <row r="10" spans="1:25" x14ac:dyDescent="0.2">
      <c r="A10" s="5">
        <v>4</v>
      </c>
      <c r="B10" s="6" t="str">
        <f>IF('Personnel Yr 1'!$J$5&gt;4,IF(NOT(OR(ISBLANK('Personnel Yr 4'!B10),'Personnel Yr 4'!B10="")),'Personnel Yr 4'!B10,""),"")</f>
        <v/>
      </c>
      <c r="C10" s="22" t="str">
        <f>IF('Personnel Yr 1'!$J$5&gt;4,IF(ISBLANK('Personnel Yr 4'!C10),"",'Personnel Yr 4'!C10),"")</f>
        <v/>
      </c>
      <c r="D10" s="22" t="str">
        <f>IF('Personnel Yr 1'!$J$5&gt;4,IF(ISBLANK('Personnel Yr 4'!D10),"",'Personnel Yr 4'!D10),"")</f>
        <v/>
      </c>
      <c r="E10" s="22" t="str">
        <f>IF('Personnel Yr 1'!$J$5&gt;4,IF(ISBLANK('Personnel Yr 4'!E10),"",'Personnel Yr 4'!E10),"")</f>
        <v/>
      </c>
      <c r="F10" s="22" t="str">
        <f>IF('Personnel Yr 1'!$J$5&gt;4,IF(ISBLANK('Personnel Yr 4'!F10),"",'Personnel Yr 4'!F10),"")</f>
        <v/>
      </c>
      <c r="G10" s="22" t="str">
        <f>IF('Personnel Yr 1'!$J$5&gt;4,IF(ISBLANK('Personnel Yr 4'!G10),"",'Personnel Yr 4'!G10),"")</f>
        <v/>
      </c>
      <c r="H10" s="42" t="str">
        <f>IF('Personnel Yr 1'!$J$5&gt;4,IF(NOT(OR(ISBLANK('Personnel Yr 4'!H10),'Personnel Yr 4'!H10="")),(('Personnel Yr 4'!H10*'Personnel Yr 1'!$D$5)+'Personnel Yr 4'!H10),""),"")</f>
        <v/>
      </c>
      <c r="I10" s="22" t="str">
        <f>IF('Personnel Yr 1'!$J$5&gt;4,IF(AND(OR(ISBLANK(H10),H10=""),ISBLANK('Personnel Yr 4'!I10)),"",'Personnel Yr 4'!I10),"")</f>
        <v/>
      </c>
      <c r="J10" s="22" t="str">
        <f>IF('Personnel Yr 1'!$J$5&gt;4,IF(AND(OR(ISBLANK(I10),I10=""),ISBLANK('Personnel Yr 4'!J10)),"",'Personnel Yr 4'!J10),"")</f>
        <v/>
      </c>
      <c r="K10" s="22" t="str">
        <f>IF('Personnel Yr 1'!$J$5&gt;4,IF(AND(OR(ISBLANK(J10),J10=""),ISBLANK('Personnel Yr 4'!K10)),"",'Personnel Yr 4'!K10),"")</f>
        <v/>
      </c>
      <c r="L10" s="44" t="str">
        <f>IF('Personnel Yr 1'!$J$5&gt;4,IF(NOT(OR(ISBLANK(H10),H10="")),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1'!$J$5&gt;4,IF(OR(ISBLANK(L10),L10=""),"",ROUND(SUM(T10:V10),2)),"")</f>
        <v/>
      </c>
      <c r="N10" s="51" t="str">
        <f>IF('Personnel Yr 1'!$J$5&gt;4,IF(OR(ISBLANK(M10),M10=""),"",ROUND(SUM(L10:M10),2)),"")</f>
        <v/>
      </c>
      <c r="O10" s="160"/>
      <c r="P10" s="336">
        <f>IF('Personnel Yr 1'!$J$5&gt;4,IF(NOT(OR(ISBLANK(I10),I10="")),(H10/12)*I10,""),0)</f>
        <v>0</v>
      </c>
      <c r="Q10" s="336">
        <f>IF('Personnel Yr 1'!$J$5&gt;4,IF(NOT(OR(ISBLANK(J10),J10="")),(H10/8.5)*J10,""),0)</f>
        <v>0</v>
      </c>
      <c r="R10" s="336">
        <f>IF('Personnel Yr 1'!$J$5&gt;4,IF(NOT(OR(ISBLANK(K10),K10="")),(H10/8.5)*K10,""),0)</f>
        <v>0</v>
      </c>
      <c r="T10" s="347">
        <f t="shared" si="0"/>
        <v>0</v>
      </c>
      <c r="U10" s="347">
        <f t="shared" si="0"/>
        <v>0</v>
      </c>
      <c r="V10" s="347">
        <f t="shared" si="1"/>
        <v>0</v>
      </c>
      <c r="X10" s="336">
        <v>10</v>
      </c>
      <c r="Y10" s="336" t="b">
        <f>IF('Personnel Yr 1'!$J$5&gt;4,IF(OR($N$5&lt;&gt;"Federal - NIH",OR(AND(ISBLANK(I10),ISBLANK(J10),ISBLANK(K10)),AND(I10="",J10="",K10=""))),FALSE,IF(I10&gt;0,H10&gt;NIHSalaryCap,H10&gt;(NIHSalaryCap*8.5)/12)),FALSE)</f>
        <v>0</v>
      </c>
    </row>
    <row r="11" spans="1:25" x14ac:dyDescent="0.2">
      <c r="A11" s="5">
        <v>5</v>
      </c>
      <c r="B11" s="6" t="str">
        <f>IF('Personnel Yr 1'!$J$5&gt;4,IF(NOT(OR(ISBLANK('Personnel Yr 4'!B11),'Personnel Yr 4'!B11="")),'Personnel Yr 4'!B11,""),"")</f>
        <v/>
      </c>
      <c r="C11" s="22" t="str">
        <f>IF('Personnel Yr 1'!$J$5&gt;4,IF(ISBLANK('Personnel Yr 4'!C11),"",'Personnel Yr 4'!C11),"")</f>
        <v/>
      </c>
      <c r="D11" s="22" t="str">
        <f>IF('Personnel Yr 1'!$J$5&gt;4,IF(ISBLANK('Personnel Yr 4'!D11),"",'Personnel Yr 4'!D11),"")</f>
        <v/>
      </c>
      <c r="E11" s="22" t="str">
        <f>IF('Personnel Yr 1'!$J$5&gt;4,IF(ISBLANK('Personnel Yr 4'!E11),"",'Personnel Yr 4'!E11),"")</f>
        <v/>
      </c>
      <c r="F11" s="22" t="str">
        <f>IF('Personnel Yr 1'!$J$5&gt;4,IF(ISBLANK('Personnel Yr 4'!F11),"",'Personnel Yr 4'!F11),"")</f>
        <v/>
      </c>
      <c r="G11" s="22" t="str">
        <f>IF('Personnel Yr 1'!$J$5&gt;4,IF(ISBLANK('Personnel Yr 4'!G11),"",'Personnel Yr 4'!G11),"")</f>
        <v/>
      </c>
      <c r="H11" s="42" t="str">
        <f>IF('Personnel Yr 1'!$J$5&gt;4,IF(NOT(OR(ISBLANK('Personnel Yr 4'!H11),'Personnel Yr 4'!H11="")),(('Personnel Yr 4'!H11*'Personnel Yr 1'!$D$5)+'Personnel Yr 4'!H11),""),"")</f>
        <v/>
      </c>
      <c r="I11" s="22" t="str">
        <f>IF('Personnel Yr 1'!$J$5&gt;4,IF(AND(OR(ISBLANK(H11),H11=""),ISBLANK('Personnel Yr 4'!I11)),"",'Personnel Yr 4'!I11),"")</f>
        <v/>
      </c>
      <c r="J11" s="22" t="str">
        <f>IF('Personnel Yr 1'!$J$5&gt;4,IF(AND(OR(ISBLANK(I11),I11=""),ISBLANK('Personnel Yr 4'!J11)),"",'Personnel Yr 4'!J11),"")</f>
        <v/>
      </c>
      <c r="K11" s="22" t="str">
        <f>IF('Personnel Yr 1'!$J$5&gt;4,IF(AND(OR(ISBLANK(J11),J11=""),ISBLANK('Personnel Yr 4'!K11)),"",'Personnel Yr 4'!K11),"")</f>
        <v/>
      </c>
      <c r="L11" s="44" t="str">
        <f>IF('Personnel Yr 1'!$J$5&gt;4,IF(NOT(OR(ISBLANK(H11),H11="")),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1'!$J$5&gt;4,IF(OR(ISBLANK(L11),L11=""),"",ROUND(SUM(T11:V11),2)),"")</f>
        <v/>
      </c>
      <c r="N11" s="51" t="str">
        <f>IF('Personnel Yr 1'!$J$5&gt;4,IF(OR(ISBLANK(M11),M11=""),"",ROUND(SUM(L11:M11),2)),"")</f>
        <v/>
      </c>
      <c r="O11" s="159"/>
      <c r="P11" s="336">
        <f>IF('Personnel Yr 1'!$J$5&gt;4,IF(NOT(OR(ISBLANK(I11),I11="")),(H11/12)*I11,""),0)</f>
        <v>0</v>
      </c>
      <c r="Q11" s="336">
        <f>IF('Personnel Yr 1'!$J$5&gt;4,IF(NOT(OR(ISBLANK(J11),J11="")),(H11/8.5)*J11,""),0)</f>
        <v>0</v>
      </c>
      <c r="R11" s="336">
        <f>IF('Personnel Yr 1'!$J$5&gt;4,IF(NOT(OR(ISBLANK(K11),K11="")),(H11/8.5)*K11,""),0)</f>
        <v>0</v>
      </c>
      <c r="T11" s="347">
        <f t="shared" si="0"/>
        <v>0</v>
      </c>
      <c r="U11" s="347">
        <f t="shared" si="0"/>
        <v>0</v>
      </c>
      <c r="V11" s="347">
        <f t="shared" si="1"/>
        <v>0</v>
      </c>
      <c r="X11" s="336">
        <v>11</v>
      </c>
      <c r="Y11" s="336" t="b">
        <f>IF('Personnel Yr 1'!$J$5&gt;4,IF(OR($N$5&lt;&gt;"Federal - NIH",OR(AND(ISBLANK(I11),ISBLANK(J11),ISBLANK(K11)),AND(I11="",J11="",K11=""))),FALSE,IF(I11&gt;0,H11&gt;NIHSalaryCap,H11&gt;(NIHSalaryCap*8.5)/12)),FALSE)</f>
        <v>0</v>
      </c>
    </row>
    <row r="12" spans="1:25" x14ac:dyDescent="0.2">
      <c r="A12" s="5">
        <v>6</v>
      </c>
      <c r="B12" s="6" t="str">
        <f>IF('Personnel Yr 1'!$J$5&gt;4,IF(NOT(OR(ISBLANK('Personnel Yr 4'!B12),'Personnel Yr 4'!B12="")),'Personnel Yr 4'!B12,""),"")</f>
        <v/>
      </c>
      <c r="C12" s="22" t="str">
        <f>IF('Personnel Yr 1'!$J$5&gt;4,IF(ISBLANK('Personnel Yr 4'!C12),"",'Personnel Yr 4'!C12),"")</f>
        <v/>
      </c>
      <c r="D12" s="22" t="str">
        <f>IF('Personnel Yr 1'!$J$5&gt;4,IF(ISBLANK('Personnel Yr 4'!D12),"",'Personnel Yr 4'!D12),"")</f>
        <v/>
      </c>
      <c r="E12" s="22" t="str">
        <f>IF('Personnel Yr 1'!$J$5&gt;4,IF(ISBLANK('Personnel Yr 4'!E12),"",'Personnel Yr 4'!E12),"")</f>
        <v/>
      </c>
      <c r="F12" s="22" t="str">
        <f>IF('Personnel Yr 1'!$J$5&gt;4,IF(ISBLANK('Personnel Yr 4'!F12),"",'Personnel Yr 4'!F12),"")</f>
        <v/>
      </c>
      <c r="G12" s="22" t="str">
        <f>IF('Personnel Yr 1'!$J$5&gt;4,IF(ISBLANK('Personnel Yr 4'!G12),"",'Personnel Yr 4'!G12),"")</f>
        <v/>
      </c>
      <c r="H12" s="42" t="str">
        <f>IF('Personnel Yr 1'!$J$5&gt;4,IF(NOT(OR(ISBLANK('Personnel Yr 4'!H12),'Personnel Yr 4'!H12="")),(('Personnel Yr 4'!H12*'Personnel Yr 1'!$D$5)+'Personnel Yr 4'!H12),""),"")</f>
        <v/>
      </c>
      <c r="I12" s="22" t="str">
        <f>IF('Personnel Yr 1'!$J$5&gt;4,IF(AND(OR(ISBLANK(H12),H12=""),ISBLANK('Personnel Yr 4'!I12)),"",'Personnel Yr 4'!I12),"")</f>
        <v/>
      </c>
      <c r="J12" s="22" t="str">
        <f>IF('Personnel Yr 1'!$J$5&gt;4,IF(AND(OR(ISBLANK(I12),I12=""),ISBLANK('Personnel Yr 4'!J12)),"",'Personnel Yr 4'!J12),"")</f>
        <v/>
      </c>
      <c r="K12" s="22" t="str">
        <f>IF('Personnel Yr 1'!$J$5&gt;4,IF(AND(OR(ISBLANK(J12),J12=""),ISBLANK('Personnel Yr 4'!K12)),"",'Personnel Yr 4'!K12),"")</f>
        <v/>
      </c>
      <c r="L12" s="44" t="str">
        <f>IF('Personnel Yr 1'!$J$5&gt;4,IF(NOT(OR(ISBLANK(H12),H12="")),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1'!$J$5&gt;4,IF(OR(ISBLANK(L12),L12=""),"",ROUND(SUM(T12:V12),2)),"")</f>
        <v/>
      </c>
      <c r="N12" s="51" t="str">
        <f>IF('Personnel Yr 1'!$J$5&gt;4,IF(OR(ISBLANK(M12),M12=""),"",ROUND(SUM(L12:M12),2)),"")</f>
        <v/>
      </c>
      <c r="O12" s="159"/>
      <c r="P12" s="336">
        <f>IF('Personnel Yr 1'!$J$5&gt;4,IF(NOT(OR(ISBLANK(I12),I12="")),(H12/12)*I12,""),0)</f>
        <v>0</v>
      </c>
      <c r="Q12" s="336">
        <f>IF('Personnel Yr 1'!$J$5&gt;4,IF(NOT(OR(ISBLANK(J12),J12="")),(H12/8.5)*J12,""),0)</f>
        <v>0</v>
      </c>
      <c r="R12" s="336">
        <f>IF('Personnel Yr 1'!$J$5&gt;4,IF(NOT(OR(ISBLANK(K12),K12="")),(H12/8.5)*K12,""),0)</f>
        <v>0</v>
      </c>
      <c r="T12" s="347">
        <f t="shared" si="0"/>
        <v>0</v>
      </c>
      <c r="U12" s="347">
        <f t="shared" si="0"/>
        <v>0</v>
      </c>
      <c r="V12" s="347">
        <f t="shared" si="1"/>
        <v>0</v>
      </c>
      <c r="X12" s="336">
        <v>12</v>
      </c>
      <c r="Y12" s="336" t="b">
        <f>IF('Personnel Yr 1'!$J$5&gt;4,IF(OR($N$5&lt;&gt;"Federal - NIH",OR(AND(ISBLANK(I12),ISBLANK(J12),ISBLANK(K12)),AND(I12="",J12="",K12=""))),FALSE,IF(I12&gt;0,H12&gt;NIHSalaryCap,H12&gt;(NIHSalaryCap*8.5)/12)),FALSE)</f>
        <v>0</v>
      </c>
    </row>
    <row r="13" spans="1:25" x14ac:dyDescent="0.2">
      <c r="A13" s="5">
        <v>7</v>
      </c>
      <c r="B13" s="6" t="str">
        <f>IF('Personnel Yr 1'!$J$5&gt;4,IF(NOT(OR(ISBLANK('Personnel Yr 4'!B13),'Personnel Yr 4'!B13="")),'Personnel Yr 4'!B13,""),"")</f>
        <v/>
      </c>
      <c r="C13" s="22" t="str">
        <f>IF('Personnel Yr 1'!$J$5&gt;4,IF(ISBLANK('Personnel Yr 4'!C13),"",'Personnel Yr 4'!C13),"")</f>
        <v/>
      </c>
      <c r="D13" s="22" t="str">
        <f>IF('Personnel Yr 1'!$J$5&gt;4,IF(ISBLANK('Personnel Yr 4'!D13),"",'Personnel Yr 4'!D13),"")</f>
        <v/>
      </c>
      <c r="E13" s="22" t="str">
        <f>IF('Personnel Yr 1'!$J$5&gt;4,IF(ISBLANK('Personnel Yr 4'!E13),"",'Personnel Yr 4'!E13),"")</f>
        <v/>
      </c>
      <c r="F13" s="22" t="str">
        <f>IF('Personnel Yr 1'!$J$5&gt;4,IF(ISBLANK('Personnel Yr 4'!F13),"",'Personnel Yr 4'!F13),"")</f>
        <v/>
      </c>
      <c r="G13" s="22" t="str">
        <f>IF('Personnel Yr 1'!$J$5&gt;4,IF(ISBLANK('Personnel Yr 4'!G13),"",'Personnel Yr 4'!G13),"")</f>
        <v/>
      </c>
      <c r="H13" s="42" t="str">
        <f>IF('Personnel Yr 1'!$J$5&gt;4,IF(NOT(OR(ISBLANK('Personnel Yr 4'!H13),'Personnel Yr 4'!H13="")),(('Personnel Yr 4'!H13*'Personnel Yr 1'!$D$5)+'Personnel Yr 4'!H13),""),"")</f>
        <v/>
      </c>
      <c r="I13" s="22" t="str">
        <f>IF('Personnel Yr 1'!$J$5&gt;4,IF(AND(OR(ISBLANK(H13),H13=""),ISBLANK('Personnel Yr 4'!I13)),"",'Personnel Yr 4'!I13),"")</f>
        <v/>
      </c>
      <c r="J13" s="22" t="str">
        <f>IF('Personnel Yr 1'!$J$5&gt;4,IF(AND(OR(ISBLANK(I13),I13=""),ISBLANK('Personnel Yr 4'!J13)),"",'Personnel Yr 4'!J13),"")</f>
        <v/>
      </c>
      <c r="K13" s="22" t="str">
        <f>IF('Personnel Yr 1'!$J$5&gt;4,IF(AND(OR(ISBLANK(J13),J13=""),ISBLANK('Personnel Yr 4'!K13)),"",'Personnel Yr 4'!K13),"")</f>
        <v/>
      </c>
      <c r="L13" s="44" t="str">
        <f>IF('Personnel Yr 1'!$J$5&gt;4,IF(NOT(OR(ISBLANK(H13),H13="")),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1'!$J$5&gt;4,IF(OR(ISBLANK(L13),L13=""),"",ROUND(SUM(T13:V13),2)),"")</f>
        <v/>
      </c>
      <c r="N13" s="51" t="str">
        <f>IF('Personnel Yr 1'!$J$5&gt;4,IF(OR(ISBLANK(M13),M13=""),"",ROUND(SUM(L13:M13),2)),"")</f>
        <v/>
      </c>
      <c r="O13" s="157"/>
      <c r="P13" s="336">
        <f>IF('Personnel Yr 1'!$J$5&gt;4,IF(NOT(OR(ISBLANK(I13),I13="")),(H13/12)*I13,""),0)</f>
        <v>0</v>
      </c>
      <c r="Q13" s="336">
        <f>IF('Personnel Yr 1'!$J$5&gt;4,IF(NOT(OR(ISBLANK(J13),J13="")),(H13/8.5)*J13,""),0)</f>
        <v>0</v>
      </c>
      <c r="R13" s="336">
        <f>IF('Personnel Yr 1'!$J$5&gt;4,IF(NOT(OR(ISBLANK(K13),K13="")),(H13/8.5)*K13,""),0)</f>
        <v>0</v>
      </c>
      <c r="T13" s="347">
        <f t="shared" si="0"/>
        <v>0</v>
      </c>
      <c r="U13" s="347">
        <f t="shared" si="0"/>
        <v>0</v>
      </c>
      <c r="V13" s="347">
        <f t="shared" si="1"/>
        <v>0</v>
      </c>
      <c r="X13" s="336">
        <v>13</v>
      </c>
      <c r="Y13" s="336" t="b">
        <f>IF('Personnel Yr 1'!$J$5&gt;4,IF(OR($N$5&lt;&gt;"Federal - NIH",OR(AND(ISBLANK(I13),ISBLANK(J13),ISBLANK(K13)),AND(I13="",J13="",K13=""))),FALSE,IF(I13&gt;0,H13&gt;NIHSalaryCap,H13&gt;(NIHSalaryCap*8.5)/12)),FALSE)</f>
        <v>0</v>
      </c>
    </row>
    <row r="14" spans="1:25" ht="13.5" thickBot="1" x14ac:dyDescent="0.25">
      <c r="A14" s="5">
        <v>8</v>
      </c>
      <c r="B14" s="7" t="str">
        <f>IF('Personnel Yr 1'!$J$5&gt;4,IF(NOT(OR(ISBLANK('Personnel Yr 4'!B14),'Personnel Yr 4'!B14="")),'Personnel Yr 4'!B14,""),"")</f>
        <v/>
      </c>
      <c r="C14" s="29" t="str">
        <f>IF('Personnel Yr 1'!$J$5&gt;4,IF(ISBLANK('Personnel Yr 4'!C14),"",'Personnel Yr 4'!C14),"")</f>
        <v/>
      </c>
      <c r="D14" s="29" t="str">
        <f>IF('Personnel Yr 1'!$J$5&gt;4,IF(ISBLANK('Personnel Yr 4'!D14),"",'Personnel Yr 4'!D14),"")</f>
        <v/>
      </c>
      <c r="E14" s="29" t="str">
        <f>IF('Personnel Yr 1'!$J$5&gt;4,IF(ISBLANK('Personnel Yr 4'!E14),"",'Personnel Yr 4'!E14),"")</f>
        <v/>
      </c>
      <c r="F14" s="29" t="str">
        <f>IF('Personnel Yr 1'!$J$5&gt;4,IF(ISBLANK('Personnel Yr 4'!F14),"",'Personnel Yr 4'!F14),"")</f>
        <v/>
      </c>
      <c r="G14" s="29" t="str">
        <f>IF('Personnel Yr 1'!$J$5&gt;4,IF(ISBLANK('Personnel Yr 4'!G14),"",'Personnel Yr 4'!G14),"")</f>
        <v/>
      </c>
      <c r="H14" s="43" t="str">
        <f>IF('Personnel Yr 1'!$J$5&gt;4,IF(NOT(OR(ISBLANK('Personnel Yr 4'!H14),'Personnel Yr 4'!H14="")),(('Personnel Yr 4'!H14*'Personnel Yr 1'!$D$5)+'Personnel Yr 4'!H14),""),"")</f>
        <v/>
      </c>
      <c r="I14" s="29" t="str">
        <f>IF('Personnel Yr 1'!$J$5&gt;4,IF(AND(OR(ISBLANK(H14),H14=""),ISBLANK('Personnel Yr 4'!I14)),"",'Personnel Yr 4'!I14),"")</f>
        <v/>
      </c>
      <c r="J14" s="29" t="str">
        <f>IF('Personnel Yr 1'!$J$5&gt;4,IF(AND(OR(ISBLANK(I14),I14=""),ISBLANK('Personnel Yr 4'!J14)),"",'Personnel Yr 4'!J14),"")</f>
        <v/>
      </c>
      <c r="K14" s="29" t="str">
        <f>IF('Personnel Yr 1'!$J$5&gt;4,IF(AND(OR(ISBLANK(J14),J14=""),ISBLANK('Personnel Yr 4'!K14)),"",'Personnel Yr 4'!K14),"")</f>
        <v/>
      </c>
      <c r="L14" s="52" t="str">
        <f>IF('Personnel Yr 1'!$J$5&gt;4,IF(NOT(OR(ISBLANK(H14),H14="")),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1'!$J$5&gt;4,IF(OR(ISBLANK(L14),L14=""),"",ROUND(SUM(T14:V14),2)),"")</f>
        <v/>
      </c>
      <c r="N14" s="50" t="str">
        <f>IF('Personnel Yr 1'!$J$5&gt;4,IF(OR(ISBLANK(M14),M14=""),"",ROUND(SUM(L14:M14),2)),"")</f>
        <v/>
      </c>
      <c r="O14" s="161"/>
      <c r="P14" s="336">
        <f>IF('Personnel Yr 1'!$J$5&gt;4,IF(NOT(OR(ISBLANK(I14),I14="")),(H14/12)*I14,""),0)</f>
        <v>0</v>
      </c>
      <c r="Q14" s="336">
        <f>IF('Personnel Yr 1'!$J$5&gt;4,IF(NOT(OR(ISBLANK(J14),J14="")),(H14/8.5)*J14,""),0)</f>
        <v>0</v>
      </c>
      <c r="R14" s="336">
        <f>IF('Personnel Yr 1'!$J$5&gt;4,IF(NOT(OR(ISBLANK(K14),K14="")),(H14/8.5)*K14,""),0)</f>
        <v>0</v>
      </c>
      <c r="T14" s="347">
        <f t="shared" si="0"/>
        <v>0</v>
      </c>
      <c r="U14" s="347">
        <f t="shared" si="0"/>
        <v>0</v>
      </c>
      <c r="V14" s="347">
        <f t="shared" si="1"/>
        <v>0</v>
      </c>
      <c r="X14" s="336">
        <v>14</v>
      </c>
      <c r="Y14" s="336" t="b">
        <f>IF('Personnel Yr 1'!$J$5&gt;4,IF(OR($N$5&lt;&gt;"Federal - NIH",OR(AND(ISBLANK(I14),ISBLANK(J14),ISBLANK(K14)),AND(I14="",J14="",K14=""))),FALSE,IF(I14&gt;0,H14&gt;NIHSalaryCap,H14&gt;(NIHSalaryCap*8.5)/12)),FALSE)</f>
        <v>0</v>
      </c>
    </row>
    <row r="15" spans="1:25" ht="13.5" thickBot="1" x14ac:dyDescent="0.25">
      <c r="A15" s="5">
        <v>9</v>
      </c>
      <c r="B15" s="27">
        <f>B59</f>
        <v>0</v>
      </c>
      <c r="C15" s="563" t="s">
        <v>52</v>
      </c>
      <c r="D15" s="563"/>
      <c r="E15" s="563"/>
      <c r="F15" s="563"/>
      <c r="G15" s="573" t="s">
        <v>63</v>
      </c>
      <c r="H15" s="573"/>
      <c r="I15" s="573"/>
      <c r="J15" s="573"/>
      <c r="K15" s="573"/>
      <c r="L15" s="573"/>
      <c r="M15" s="574"/>
      <c r="N15" s="56">
        <f>N59</f>
        <v>0</v>
      </c>
      <c r="P15" s="336">
        <f t="shared" ref="P15:V15" si="2">SUM(P7:P14)</f>
        <v>0</v>
      </c>
      <c r="Q15" s="336">
        <f t="shared" si="2"/>
        <v>0</v>
      </c>
      <c r="R15" s="336">
        <f t="shared" si="2"/>
        <v>0</v>
      </c>
      <c r="T15" s="336">
        <f t="shared" si="2"/>
        <v>0</v>
      </c>
      <c r="U15" s="336">
        <f t="shared" si="2"/>
        <v>0</v>
      </c>
      <c r="V15" s="336">
        <f t="shared" si="2"/>
        <v>0</v>
      </c>
    </row>
    <row r="16" spans="1:25" ht="13.5" thickBot="1" x14ac:dyDescent="0.25">
      <c r="B16" s="27">
        <f>SUM(ROWS(E7:E14)-COUNTIF(E7:E14,""),B15)</f>
        <v>0</v>
      </c>
      <c r="C16" s="569" t="s">
        <v>51</v>
      </c>
      <c r="D16" s="570"/>
      <c r="E16" s="570"/>
      <c r="F16" s="570"/>
      <c r="G16" s="9"/>
      <c r="H16" s="10"/>
      <c r="I16" s="10"/>
      <c r="J16" s="571" t="s">
        <v>34</v>
      </c>
      <c r="K16" s="571"/>
      <c r="L16" s="571"/>
      <c r="M16" s="572"/>
      <c r="N16" s="48">
        <f>SUM(N7:N15)</f>
        <v>0</v>
      </c>
    </row>
    <row r="17" spans="2:29" x14ac:dyDescent="0.2">
      <c r="B17" s="9"/>
      <c r="C17" s="9"/>
      <c r="D17" s="9"/>
      <c r="E17" s="9"/>
      <c r="F17" s="9"/>
      <c r="G17" s="9"/>
      <c r="H17" s="10"/>
      <c r="I17" s="10"/>
      <c r="J17" s="11"/>
      <c r="K17" s="11"/>
      <c r="L17" s="11"/>
      <c r="M17" s="11"/>
      <c r="N17" s="10"/>
    </row>
    <row r="18" spans="2:29" x14ac:dyDescent="0.2">
      <c r="B18" s="9"/>
      <c r="C18" s="9"/>
      <c r="D18" s="9"/>
      <c r="E18" s="9"/>
      <c r="F18" s="9"/>
      <c r="G18" s="9"/>
      <c r="H18" s="9"/>
      <c r="I18" s="9"/>
      <c r="J18" s="11"/>
      <c r="K18" s="11"/>
      <c r="L18" s="11"/>
      <c r="M18" s="11"/>
      <c r="N18" s="9"/>
    </row>
    <row r="19" spans="2:29" x14ac:dyDescent="0.2">
      <c r="B19" s="575" t="s">
        <v>6</v>
      </c>
      <c r="C19" s="575"/>
      <c r="D19" s="576" t="s">
        <v>96</v>
      </c>
      <c r="E19" s="576"/>
      <c r="F19" s="576"/>
      <c r="G19" s="576"/>
      <c r="H19" s="576"/>
      <c r="I19" s="576"/>
      <c r="J19" s="576"/>
      <c r="K19" s="576"/>
    </row>
    <row r="20" spans="2:29"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9" x14ac:dyDescent="0.2">
      <c r="B21" s="16" t="str">
        <f>IF('Personnel Yr 1'!$J$5&gt;4,IF(OR(ISBLANK('Personnel Yr 4'!B21),'Personnel Yr 4'!B21=""),"",'Personnel Yr 4'!B21),"")</f>
        <v/>
      </c>
      <c r="C21" s="578" t="s">
        <v>8</v>
      </c>
      <c r="D21" s="578"/>
      <c r="E21" s="578"/>
      <c r="F21" s="578"/>
      <c r="G21" s="578"/>
      <c r="H21" s="579"/>
      <c r="I21" s="17" t="str">
        <f>IF('Personnel Yr 1'!$J$5&gt;4,IF(OR(ISBLANK('Personnel Yr 4'!I21),'Personnel Yr 4'!I21=""),"",'Personnel Yr 4'!I21),"")</f>
        <v/>
      </c>
      <c r="J21" s="17" t="str">
        <f>IF('Personnel Yr 1'!$J$5&gt;4,IF(OR(ISBLANK('Personnel Yr 4'!J21),'Personnel Yr 4'!J21=""),"",'Personnel Yr 4'!J21),"")</f>
        <v/>
      </c>
      <c r="K21" s="17" t="str">
        <f>IF('Personnel Yr 1'!$J$5&gt;4,IF(OR(ISBLANK('Personnel Yr 4'!K21),'Personnel Yr 4'!K21=""),"",'Personnel Yr 4'!K21),"")</f>
        <v/>
      </c>
      <c r="L21" s="41" t="str">
        <f>IF('Personnel Yr 1'!$J$5&gt;4,IF(NOT(OR(ISBLANK('Personnel Yr 4'!L21),'Personnel Yr 4'!L21="")),(('Personnel Yr 4'!L21*'Personnel Yr 1'!$D$5)+'Personnel Yr 4'!L21),""),"")</f>
        <v/>
      </c>
      <c r="M21" s="49" t="str">
        <f>IF('Personnel Yr 1'!$J$5&gt;4,IF(OR(ISBLANK(L21),L21=""),"",ROUND(L21*LOOKUP("Full",Ben,Per),2)),"")</f>
        <v/>
      </c>
      <c r="N21" s="272" t="str">
        <f>IF('Personnel Yr 1'!$J$5&gt;4,IF(OR(ISBLANK(L21),L21=""),"",ROUND(SUM(L21:M21),2)),"")</f>
        <v/>
      </c>
      <c r="O21" s="162"/>
    </row>
    <row r="22" spans="2:29" x14ac:dyDescent="0.2">
      <c r="B22" s="18" t="str">
        <f>IF('Personnel Yr 1'!$J$5&gt;4,IF(OR(ISBLANK('Personnel Yr 4'!B22),'Personnel Yr 4'!B22=""),"",'Personnel Yr 4'!B22),"")</f>
        <v/>
      </c>
      <c r="C22" s="580" t="s">
        <v>73</v>
      </c>
      <c r="D22" s="581"/>
      <c r="E22" s="581"/>
      <c r="F22" s="581"/>
      <c r="G22" s="581"/>
      <c r="H22" s="583"/>
      <c r="I22" s="19" t="str">
        <f>IF('Personnel Yr 1'!$J$5&gt;4,IF(OR(ISBLANK('Personnel Yr 4'!I22),'Personnel Yr 4'!I22=""),"",'Personnel Yr 4'!I22),"")</f>
        <v/>
      </c>
      <c r="J22" s="19" t="str">
        <f>IF('Personnel Yr 1'!$J$5&gt;4,IF(OR(ISBLANK('Personnel Yr 4'!J22),'Personnel Yr 4'!J22=""),"",'Personnel Yr 4'!J22),"")</f>
        <v/>
      </c>
      <c r="K22" s="19" t="str">
        <f>IF('Personnel Yr 1'!$J$5&gt;4,IF(OR(ISBLANK('Personnel Yr 4'!K22),'Personnel Yr 4'!K22=""),"",'Personnel Yr 4'!K22),"")</f>
        <v/>
      </c>
      <c r="L22" s="53" t="str">
        <f>IF('Personnel Yr 1'!$J$5&gt;4,IF(NOT(OR(ISBLANK('Personnel Yr 4'!L22),'Personnel Yr 4'!L22="")),(('Personnel Yr 4'!L22*'Personnel Yr 1'!$D$5)+'Personnel Yr 4'!L22),""),"")</f>
        <v/>
      </c>
      <c r="M22" s="49" t="str">
        <f>IF('Personnel Yr 1'!$J$5&gt;4,IF(OR(ISBLANK(L22),L22=""),"",ROUND(L22*LOOKUP("Full",Ben,Per),2)),"")</f>
        <v/>
      </c>
      <c r="N22" s="272" t="str">
        <f>IF('Personnel Yr 1'!$J$5&gt;4,IF(OR(ISBLANK(L22),L22=""),"",ROUND(SUM(L22:M22),2)),"")</f>
        <v/>
      </c>
      <c r="O22" s="165"/>
    </row>
    <row r="23" spans="2:29" x14ac:dyDescent="0.2">
      <c r="B23" s="20" t="str">
        <f>IF('Personnel Yr 1'!$J$5&gt;4,IF(OR(ISBLANK('Personnel Yr 4'!B23),'Personnel Yr 4'!B23=""),"",'Personnel Yr 4'!B23),"")</f>
        <v/>
      </c>
      <c r="C23" s="580" t="s">
        <v>9</v>
      </c>
      <c r="D23" s="581"/>
      <c r="E23" s="581"/>
      <c r="F23" s="581"/>
      <c r="G23" s="429"/>
      <c r="H23" s="68" t="str">
        <f>IF('Personnel Yr 1'!$J$5&gt;4,IF(OR(ISBLANK('Personnel Yr 4'!H23),'Personnel Yr 4'!H23=""),"",'Personnel Yr 4'!H23),"")</f>
        <v/>
      </c>
      <c r="I23" s="21" t="str">
        <f>IF('Personnel Yr 1'!$J$5&gt;4,IF(OR(ISBLANK('Personnel Yr 4'!I23),'Personnel Yr 4'!I23=""),"",'Personnel Yr 4'!I23),"")</f>
        <v/>
      </c>
      <c r="J23" s="21" t="str">
        <f>IF('Personnel Yr 1'!$J$5&gt;4,IF(OR(ISBLANK('Personnel Yr 4'!J23),'Personnel Yr 4'!J23=""),"",'Personnel Yr 4'!J23),"")</f>
        <v/>
      </c>
      <c r="K23" s="21" t="str">
        <f>IF('Personnel Yr 1'!$J$5&gt;4,IF(OR(ISBLANK('Personnel Yr 4'!K23),'Personnel Yr 4'!K23=""),"",'Personnel Yr 4'!K23),"")</f>
        <v/>
      </c>
      <c r="L23" s="42" t="str">
        <f>IF('Personnel Yr 1'!$J$5&gt;4,IF(NOT(OR(ISBLANK('Personnel Yr 4'!L23),'Personnel Yr 4'!L23="")),(('Personnel Yr 4'!L23*'Personnel Yr 1'!$D$5)+'Personnel Yr 4'!L23),""),"")</f>
        <v/>
      </c>
      <c r="M23" s="47" t="str">
        <f>IF('Personnel Yr 1'!$J$5&gt;4,IF(OR(ISBLANK(L23),L23=""),"",ROUND(L23*LOOKUP(H23,Grad,GradR),2)),"")</f>
        <v/>
      </c>
      <c r="N23" s="272" t="str">
        <f>IF('Personnel Yr 1'!$J$5&gt;4,IF(OR(ISBLANK(L23),L23=""),"",ROUND(SUM(L23:M23),2)),"")</f>
        <v/>
      </c>
      <c r="O23" s="165"/>
    </row>
    <row r="24" spans="2:29" x14ac:dyDescent="0.2">
      <c r="B24" s="20" t="str">
        <f>IF('Personnel Yr 1'!$J$5&gt;4,IF(OR(ISBLANK('Personnel Yr 4'!B24),'Personnel Yr 4'!B24=""),"",'Personnel Yr 4'!B24),"")</f>
        <v/>
      </c>
      <c r="C24" s="581" t="s">
        <v>10</v>
      </c>
      <c r="D24" s="581"/>
      <c r="E24" s="581"/>
      <c r="F24" s="581"/>
      <c r="G24" s="581"/>
      <c r="H24" s="582"/>
      <c r="I24" s="22" t="str">
        <f>IF('Personnel Yr 1'!$J$5&gt;4,IF(OR(ISBLANK('Personnel Yr 4'!I24),'Personnel Yr 4'!I24=""),"",'Personnel Yr 4'!I24),"")</f>
        <v/>
      </c>
      <c r="J24" s="22" t="str">
        <f>IF('Personnel Yr 1'!$J$5&gt;4,IF(OR(ISBLANK('Personnel Yr 4'!J24),'Personnel Yr 4'!J24=""),"",'Personnel Yr 4'!J24),"")</f>
        <v/>
      </c>
      <c r="K24" s="22" t="str">
        <f>IF('Personnel Yr 1'!$J$5&gt;4,IF(OR(ISBLANK('Personnel Yr 4'!K24),'Personnel Yr 4'!K24=""),"",'Personnel Yr 4'!K24),"")</f>
        <v/>
      </c>
      <c r="L24" s="54" t="str">
        <f>IF('Personnel Yr 1'!$J$5&gt;4,IF(NOT(OR(ISBLANK('Personnel Yr 4'!L24),'Personnel Yr 4'!L24="")),(('Personnel Yr 4'!L24*'Personnel Yr 1'!$D$5)+'Personnel Yr 4'!L24),""),"")</f>
        <v/>
      </c>
      <c r="M24" s="47" t="str">
        <f>IF('Personnel Yr 1'!$J$5&gt;4,IF(OR(ISBLANK(L24),L24=""),"",ROUND(L24*LOOKUP("Temp",Ben,Per),2)),"")</f>
        <v/>
      </c>
      <c r="N24" s="272" t="str">
        <f>IF('Personnel Yr 1'!$J$5&gt;4,IF(OR(ISBLANK(L24),L24=""),"",ROUND(SUM(L24:M24),2)),"")</f>
        <v/>
      </c>
      <c r="O24" s="165"/>
    </row>
    <row r="25" spans="2:29" x14ac:dyDescent="0.2">
      <c r="B25" s="20" t="str">
        <f>IF('Personnel Yr 1'!$J$5&gt;4,IF(OR(ISBLANK('Personnel Yr 4'!B25),'Personnel Yr 4'!B25=""),"",'Personnel Yr 4'!B25),"")</f>
        <v/>
      </c>
      <c r="C25" s="617" t="s">
        <v>504</v>
      </c>
      <c r="D25" s="581"/>
      <c r="E25" s="581"/>
      <c r="F25" s="581"/>
      <c r="G25" s="581"/>
      <c r="H25" s="582"/>
      <c r="I25" s="22" t="str">
        <f>IF('Personnel Yr 1'!$J$5&gt;4,IF(OR(ISBLANK('Personnel Yr 4'!I25),'Personnel Yr 4'!I25=""),"",'Personnel Yr 4'!I25),"")</f>
        <v/>
      </c>
      <c r="J25" s="22" t="str">
        <f>IF('Personnel Yr 1'!$J$5&gt;4,IF(OR(ISBLANK('Personnel Yr 4'!J25),'Personnel Yr 4'!J25=""),"",'Personnel Yr 4'!J25),"")</f>
        <v/>
      </c>
      <c r="K25" s="22" t="str">
        <f>IF('Personnel Yr 1'!$J$5&gt;4,IF(OR(ISBLANK('Personnel Yr 4'!K25),'Personnel Yr 4'!K25=""),"",'Personnel Yr 4'!K25),"")</f>
        <v/>
      </c>
      <c r="L25" s="54" t="str">
        <f>IF('Personnel Yr 1'!$J$5&gt;4,IF(NOT(OR(ISBLANK('Personnel Yr 4'!L25),'Personnel Yr 4'!L25="")),(('Personnel Yr 4'!L25*'Personnel Yr 1'!$D$5)+'Personnel Yr 4'!L25),""),"")</f>
        <v/>
      </c>
      <c r="M25" s="47" t="str">
        <f>IF('Personnel Yr 1'!$J$5&gt;4,IF(OR(ISBLANK(L25),L25=""),"",ROUND(L25*LOOKUP("Full",Ben,Per),2)),"")</f>
        <v/>
      </c>
      <c r="N25" s="272" t="str">
        <f>IF('Personnel Yr 1'!$J$5&gt;4,IF(OR(ISBLANK(L25),L25=""),"",ROUND(SUM(L25:M25),2)),"")</f>
        <v/>
      </c>
      <c r="O25" s="165"/>
    </row>
    <row r="26" spans="2:29" x14ac:dyDescent="0.2">
      <c r="B26" s="20" t="str">
        <f>IF('Personnel Yr 1'!$J$5&gt;4,IF(OR(ISBLANK('Personnel Yr 4'!B26),'Personnel Yr 4'!B26=""),"",'Personnel Yr 4'!B26),"")</f>
        <v/>
      </c>
      <c r="C26" s="581" t="s">
        <v>72</v>
      </c>
      <c r="D26" s="581"/>
      <c r="E26" s="581"/>
      <c r="F26" s="581"/>
      <c r="G26" s="581"/>
      <c r="H26" s="582"/>
      <c r="I26" s="22" t="str">
        <f>IF('Personnel Yr 1'!$J$5&gt;4,IF(OR(ISBLANK('Personnel Yr 4'!I26),'Personnel Yr 4'!I26=""),"",'Personnel Yr 4'!I26),"")</f>
        <v/>
      </c>
      <c r="J26" s="22" t="str">
        <f>IF('Personnel Yr 1'!$J$5&gt;4,IF(OR(ISBLANK('Personnel Yr 4'!J26),'Personnel Yr 4'!J26=""),"",'Personnel Yr 4'!J26),"")</f>
        <v/>
      </c>
      <c r="K26" s="22" t="str">
        <f>IF('Personnel Yr 1'!$J$5&gt;4,IF(OR(ISBLANK('Personnel Yr 4'!K26),'Personnel Yr 4'!K26=""),"",'Personnel Yr 4'!K26),"")</f>
        <v/>
      </c>
      <c r="L26" s="54" t="str">
        <f>IF('Personnel Yr 1'!$J$5&gt;4,IF(NOT(OR(ISBLANK('Personnel Yr 4'!L26),'Personnel Yr 4'!L26="")),(('Personnel Yr 4'!L26*'Personnel Yr 1'!$D$5)+'Personnel Yr 4'!L26),""),"")</f>
        <v/>
      </c>
      <c r="M26" s="44" t="str">
        <f>IF('Personnel Yr 1'!$J$5&gt;4,IF(OR(ISBLANK(L26),L26=""),"",ROUND(L26*LOOKUP("Temp",Ben,Per),2)),"")</f>
        <v/>
      </c>
      <c r="N26" s="273" t="str">
        <f>IF('Personnel Yr 1'!$J$5&gt;4,IF(OR(ISBLANK(L26),L26=""),"",ROUND(SUM(L26:M26),2)),"")</f>
        <v/>
      </c>
      <c r="O26" s="20"/>
    </row>
    <row r="27" spans="2:29" s="257" customFormat="1" x14ac:dyDescent="0.2">
      <c r="B27" s="20"/>
      <c r="C27" s="589" t="s">
        <v>421</v>
      </c>
      <c r="D27" s="588"/>
      <c r="E27" s="588"/>
      <c r="F27" s="588"/>
      <c r="G27" s="588"/>
      <c r="H27" s="588"/>
      <c r="I27" s="22"/>
      <c r="J27" s="22"/>
      <c r="K27" s="22"/>
      <c r="L27" s="54" t="str">
        <f>IF('Personnel Yr 1'!$J$5&gt;4,IF(NOT(OR(ISBLANK('Personnel Yr 4'!L27),'Personnel Yr 4'!L27="")),(('Personnel Yr 4'!L27*'Personnel Yr 1'!$D$5)+'Personnel Yr 4'!L27),""),"")</f>
        <v/>
      </c>
      <c r="M27" s="44" t="str">
        <f>IF('Personnel Yr 1'!$J$5&gt;4,IF(OR(ISBLANK(L27),L27=""),"",ROUND(L27*LOOKUP("Temp",Ben,Per),2)),"")</f>
        <v/>
      </c>
      <c r="N27" s="273" t="str">
        <f>IF('Personnel Yr 1'!$J$5&gt;4,IF(OR(ISBLANK(L27),L27=""),"",ROUND(SUM(L27:M27),2)),"")</f>
        <v/>
      </c>
      <c r="O27" s="20"/>
      <c r="P27" s="336"/>
      <c r="Q27" s="336"/>
      <c r="R27" s="336"/>
      <c r="S27" s="336"/>
      <c r="T27" s="336"/>
      <c r="U27" s="336"/>
      <c r="V27" s="336"/>
      <c r="W27" s="336"/>
      <c r="X27" s="336"/>
      <c r="Y27" s="336"/>
      <c r="Z27" s="338"/>
      <c r="AA27" s="338"/>
      <c r="AB27" s="338"/>
      <c r="AC27" s="338"/>
    </row>
    <row r="28" spans="2:29" s="257" customFormat="1" ht="13.5" thickBot="1" x14ac:dyDescent="0.25">
      <c r="B28" s="164"/>
      <c r="C28" s="590" t="s">
        <v>422</v>
      </c>
      <c r="D28" s="591"/>
      <c r="E28" s="591"/>
      <c r="F28" s="591"/>
      <c r="G28" s="591"/>
      <c r="H28" s="591"/>
      <c r="I28" s="29"/>
      <c r="J28" s="29"/>
      <c r="K28" s="29"/>
      <c r="L28" s="54" t="str">
        <f>IF('Personnel Yr 1'!$J$5&gt;4,IF(NOT(OR(ISBLANK('Personnel Yr 4'!L28),'Personnel Yr 4'!L28="")),(('Personnel Yr 4'!L28*'Personnel Yr 1'!$D$5)+'Personnel Yr 4'!L28),""),"")</f>
        <v/>
      </c>
      <c r="M28" s="52" t="str">
        <f>IF('Personnel Yr 1'!$J$5&gt;4,IF(OR(ISBLANK(L28),L28=""),"",ROUND(L28*LOOKUP("Adjunct",Ben,Per),2)),"")</f>
        <v/>
      </c>
      <c r="N28" s="274" t="str">
        <f>IF('Personnel Yr 1'!$J$5&gt;4,IF(OR(ISBLANK(L28),L28=""),"",ROUND(SUM(L28:M28),2)),"")</f>
        <v/>
      </c>
      <c r="O28" s="164"/>
      <c r="P28" s="336"/>
      <c r="Q28" s="336"/>
      <c r="R28" s="336"/>
      <c r="S28" s="336"/>
      <c r="T28" s="336"/>
      <c r="U28" s="336"/>
      <c r="V28" s="336"/>
      <c r="W28" s="336"/>
      <c r="X28" s="336"/>
      <c r="Y28" s="336"/>
      <c r="Z28" s="338"/>
      <c r="AA28" s="338"/>
      <c r="AB28" s="338"/>
      <c r="AC28" s="338"/>
    </row>
    <row r="29" spans="2:29" ht="13.5" thickBot="1" x14ac:dyDescent="0.25">
      <c r="B29" s="27">
        <f>SUM(B21:B26)</f>
        <v>0</v>
      </c>
      <c r="C29" s="618" t="s">
        <v>11</v>
      </c>
      <c r="D29" s="563"/>
      <c r="E29" s="563"/>
      <c r="F29" s="563"/>
      <c r="G29" s="23"/>
      <c r="H29" s="23"/>
      <c r="I29" s="573" t="s">
        <v>12</v>
      </c>
      <c r="J29" s="619"/>
      <c r="K29" s="619"/>
      <c r="L29" s="619"/>
      <c r="M29" s="620"/>
      <c r="N29" s="56">
        <f>ROUND(SUM(N21:N28),2)</f>
        <v>0</v>
      </c>
    </row>
    <row r="30" spans="2:29" ht="13.5" thickBot="1" x14ac:dyDescent="0.25">
      <c r="B30" s="9"/>
      <c r="C30" s="24"/>
      <c r="D30" s="24"/>
      <c r="E30" s="24"/>
      <c r="F30" s="24"/>
      <c r="G30" s="24"/>
      <c r="H30" s="25"/>
      <c r="I30" s="571" t="s">
        <v>13</v>
      </c>
      <c r="J30" s="571"/>
      <c r="K30" s="571"/>
      <c r="L30" s="571"/>
      <c r="M30" s="572"/>
      <c r="N30" s="48">
        <f>ROUND(SUM(N16,N29),2)</f>
        <v>0</v>
      </c>
    </row>
    <row r="32" spans="2:29" ht="13.5" thickBot="1" x14ac:dyDescent="0.25"/>
    <row r="33" spans="1:25" ht="12.75" customHeight="1" x14ac:dyDescent="0.2">
      <c r="G33" s="336" t="s">
        <v>461</v>
      </c>
      <c r="H33" s="555" t="s">
        <v>235</v>
      </c>
      <c r="I33" s="556"/>
      <c r="J33" s="556"/>
      <c r="K33" s="556"/>
      <c r="L33" s="557"/>
    </row>
    <row r="34" spans="1:25" ht="12.75" customHeight="1" thickBot="1" x14ac:dyDescent="0.25">
      <c r="G34" s="336" t="b">
        <f>IFERROR(OR(AND('Personnel Yr 1'!N5="Federal - NIH",SUM('Non-personnel'!$J$41,$N$23)/$B$23&lt;=NIHGradLimit),'Personnel Yr 1'!N5&lt;&gt;"Federal - NIH"),TRUE)</f>
        <v>1</v>
      </c>
      <c r="H34" s="558"/>
      <c r="I34" s="559"/>
      <c r="J34" s="559"/>
      <c r="K34" s="559"/>
      <c r="L34" s="560"/>
    </row>
    <row r="35" spans="1:25" ht="12.75" customHeight="1" x14ac:dyDescent="0.2">
      <c r="G35" s="336" t="e">
        <f>SUM('Non-personnel'!$P$41,$N$23)/$B$23</f>
        <v>#VALUE!</v>
      </c>
      <c r="H35" s="546" t="s">
        <v>240</v>
      </c>
      <c r="I35" s="609"/>
      <c r="J35" s="609"/>
      <c r="K35" s="609"/>
      <c r="L35" s="610"/>
    </row>
    <row r="36" spans="1:25" ht="12.75" customHeight="1" x14ac:dyDescent="0.2">
      <c r="H36" s="611"/>
      <c r="I36" s="612"/>
      <c r="J36" s="612"/>
      <c r="K36" s="612"/>
      <c r="L36" s="613"/>
    </row>
    <row r="37" spans="1:25" ht="12.75" customHeight="1" x14ac:dyDescent="0.2">
      <c r="H37" s="611"/>
      <c r="I37" s="612"/>
      <c r="J37" s="612"/>
      <c r="K37" s="612"/>
      <c r="L37" s="613"/>
    </row>
    <row r="38" spans="1:25" ht="12.75" customHeight="1" x14ac:dyDescent="0.2">
      <c r="H38" s="611"/>
      <c r="I38" s="612"/>
      <c r="J38" s="612"/>
      <c r="K38" s="612"/>
      <c r="L38" s="613"/>
    </row>
    <row r="39" spans="1:25" ht="12.75" customHeight="1" thickBot="1" x14ac:dyDescent="0.25">
      <c r="H39" s="614"/>
      <c r="I39" s="615"/>
      <c r="J39" s="615"/>
      <c r="K39" s="615"/>
      <c r="L39" s="616"/>
    </row>
    <row r="40" spans="1:25" ht="12.75" customHeight="1" thickBot="1" x14ac:dyDescent="0.25">
      <c r="H40" s="174" t="s">
        <v>236</v>
      </c>
      <c r="I40" s="167"/>
      <c r="J40" s="173" t="s">
        <v>237</v>
      </c>
      <c r="K40" s="173" t="s">
        <v>238</v>
      </c>
      <c r="L40" s="172" t="s">
        <v>239</v>
      </c>
    </row>
    <row r="41" spans="1:25" ht="12.75" customHeight="1" thickBot="1" x14ac:dyDescent="0.25">
      <c r="H41" s="168">
        <v>0</v>
      </c>
      <c r="I41" s="169"/>
      <c r="J41" s="170">
        <f>H41*12</f>
        <v>0</v>
      </c>
      <c r="K41" s="170">
        <f>H41*8.5</f>
        <v>0</v>
      </c>
      <c r="L41" s="171">
        <f>H41*3.5</f>
        <v>0</v>
      </c>
    </row>
    <row r="42" spans="1:25" x14ac:dyDescent="0.2">
      <c r="B42" s="545" t="s">
        <v>242</v>
      </c>
      <c r="C42" s="545"/>
      <c r="D42" s="545"/>
    </row>
    <row r="43" spans="1:25" ht="26.25"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T43" s="335" t="s">
        <v>66</v>
      </c>
      <c r="U43" s="335" t="s">
        <v>67</v>
      </c>
      <c r="V43" s="335" t="s">
        <v>68</v>
      </c>
      <c r="Y43" s="336" t="s">
        <v>464</v>
      </c>
    </row>
    <row r="44" spans="1:25" x14ac:dyDescent="0.2">
      <c r="A44" s="5">
        <v>1</v>
      </c>
      <c r="B44" s="28" t="str">
        <f>IF('Personnel Yr 1'!$J$5&gt;4,IF(NOT(OR(ISBLANK('Personnel Yr 4'!B44),'Personnel Yr 4'!B44="")),'Personnel Yr 4'!B44,""),"")</f>
        <v/>
      </c>
      <c r="C44" s="17" t="str">
        <f>IF('Personnel Yr 1'!$J$5&gt;4,IF(ISBLANK('Personnel Yr 4'!C44),"",'Personnel Yr 4'!C44),"")</f>
        <v/>
      </c>
      <c r="D44" s="17" t="str">
        <f>IF('Personnel Yr 1'!$J$5&gt;4,IF(ISBLANK('Personnel Yr 4'!D44),"",'Personnel Yr 4'!D44),"")</f>
        <v/>
      </c>
      <c r="E44" s="183" t="str">
        <f>IF('Personnel Yr 1'!$J$5&gt;4,IF(ISBLANK('Personnel Yr 4'!E44),"",'Personnel Yr 4'!E44),"")</f>
        <v/>
      </c>
      <c r="F44" s="17" t="str">
        <f>IF('Personnel Yr 1'!$J$5&gt;4,IF(ISBLANK('Personnel Yr 4'!F44),"",'Personnel Yr 4'!F44),"")</f>
        <v/>
      </c>
      <c r="G44" s="176" t="str">
        <f>IF('Personnel Yr 1'!$J$5&gt;4,IF(ISBLANK('Personnel Yr 4'!G44),"",'Personnel Yr 4'!G44),"")</f>
        <v/>
      </c>
      <c r="H44" s="177" t="str">
        <f>IF('Personnel Yr 1'!$J$5&gt;4,IF(NOT(OR(ISBLANK('Personnel Yr 4'!H44),'Personnel Yr 4'!H44="")),(('Personnel Yr 4'!H44*'Personnel Yr 1'!$D$5)+'Personnel Yr 4'!H44),""),"")</f>
        <v/>
      </c>
      <c r="I44" s="17" t="str">
        <f>IF('Personnel Yr 1'!$J$5&gt;4,IF(AND(OR(ISBLANK(H44),H44=""),ISBLANK('Personnel Yr 4'!I44)),"",'Personnel Yr 4'!I44),"")</f>
        <v/>
      </c>
      <c r="J44" s="17" t="str">
        <f>IF('Personnel Yr 1'!$J$5&gt;4,IF(AND(OR(ISBLANK(I44),I44=""),ISBLANK('Personnel Yr 4'!J44)),"",'Personnel Yr 4'!J44),"")</f>
        <v/>
      </c>
      <c r="K44" s="17" t="str">
        <f>IF('Personnel Yr 1'!$J$5&gt;4,IF(AND(OR(ISBLANK(J44),J44=""),ISBLANK('Personnel Yr 4'!K44)),"",'Personnel Yr 4'!K44),"")</f>
        <v/>
      </c>
      <c r="L44" s="45" t="str">
        <f>IF('Personnel Yr 1'!$J$5&gt;4,IF(NOT(OR(ISBLANK(H44),H44="")),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1'!$J$5&gt;4,IF(OR(ISBLANK(L44),L44=""),"",ROUND(SUM(T44:V44),2)),"")</f>
        <v/>
      </c>
      <c r="N44" s="46" t="str">
        <f>IF('Personnel Yr 1'!$J$5&gt;4,IF(OR(ISBLANK(M44),M44=""),"",ROUND(SUM(L44:M44),2)),"")</f>
        <v/>
      </c>
      <c r="O44" s="158"/>
      <c r="P44" s="336">
        <f>IF('Personnel Yr 1'!$J$5&gt;4,IF(NOT(OR(ISBLANK(I44),I44="")),(H44/12)*I44,""),0)</f>
        <v>0</v>
      </c>
      <c r="Q44" s="337">
        <f>IF('Personnel Yr 1'!$J$5&gt;4,IF(NOT(OR(ISBLANK(J44),J44="")),(H44/8.5)*J44,""),0)</f>
        <v>0</v>
      </c>
      <c r="R44" s="336">
        <f>IF('Personnel Yr 1'!$J$5&gt;4,IF(NOT(OR(ISBLANK(K44),K44="")),(H44/8.5)*K44,""),0)</f>
        <v>0</v>
      </c>
      <c r="T44" s="336">
        <f t="shared" ref="T44:T58" si="3">IF(OR(ISBLANK(P44),P44=""),0,P44*LOOKUP("Full",Ben,Per))</f>
        <v>0</v>
      </c>
      <c r="U44" s="336">
        <f t="shared" ref="U44:U58" si="4">IF(OR(ISBLANK(Q44),Q44=""),0,Q44*LOOKUP("Full",Ben,Per))</f>
        <v>0</v>
      </c>
      <c r="V44" s="336">
        <f t="shared" ref="V44:V58" si="5">IF(OR(ISBLANK(R44),R44=""),0,R44*LOOKUP("Summer",Ben,Per))</f>
        <v>0</v>
      </c>
      <c r="X44" s="336">
        <v>44</v>
      </c>
      <c r="Y44" s="336" t="b">
        <f>IF('Personnel Yr 1'!$J$5&gt;4,IF(OR($N$5&lt;&gt;"Federal - NIH",OR(AND(ISBLANK(I44),ISBLANK(J44),ISBLANK(K44)),AND(I44="",J44="",K44=""))),FALSE,IF(I44&gt;0,H44&gt;NIHSalaryCap,H44&gt;(NIHSalaryCap*8.5)/12)),FALSE)</f>
        <v>0</v>
      </c>
    </row>
    <row r="45" spans="1:25" x14ac:dyDescent="0.2">
      <c r="A45" s="5">
        <v>2</v>
      </c>
      <c r="B45" s="6" t="str">
        <f>IF('Personnel Yr 1'!$J$5&gt;4,IF(NOT(OR(ISBLANK('Personnel Yr 4'!B45),'Personnel Yr 4'!B45="")),'Personnel Yr 4'!B45,""),"")</f>
        <v/>
      </c>
      <c r="C45" s="22" t="str">
        <f>IF('Personnel Yr 1'!$J$5&gt;4,IF(ISBLANK('Personnel Yr 4'!C45),"",'Personnel Yr 4'!C45),"")</f>
        <v/>
      </c>
      <c r="D45" s="22" t="str">
        <f>IF('Personnel Yr 1'!$J$5&gt;4,IF(ISBLANK('Personnel Yr 4'!D45),"",'Personnel Yr 4'!D45),"")</f>
        <v/>
      </c>
      <c r="E45" s="22" t="str">
        <f>IF('Personnel Yr 1'!$J$5&gt;4,IF(ISBLANK('Personnel Yr 4'!E45),"",'Personnel Yr 4'!E45),"")</f>
        <v/>
      </c>
      <c r="F45" s="22" t="str">
        <f>IF('Personnel Yr 1'!$J$5&gt;4,IF(ISBLANK('Personnel Yr 4'!F45),"",'Personnel Yr 4'!F45),"")</f>
        <v/>
      </c>
      <c r="G45" s="22" t="str">
        <f>IF('Personnel Yr 1'!$J$5&gt;4,IF(ISBLANK('Personnel Yr 4'!G45),"",'Personnel Yr 4'!G45),"")</f>
        <v/>
      </c>
      <c r="H45" s="42" t="str">
        <f>IF('Personnel Yr 1'!$J$5&gt;4,IF(NOT(OR(ISBLANK('Personnel Yr 4'!H45),'Personnel Yr 4'!H45="")),(('Personnel Yr 4'!H45*'Personnel Yr 1'!$D$5)+'Personnel Yr 4'!H45),""),"")</f>
        <v/>
      </c>
      <c r="I45" s="22" t="str">
        <f>IF('Personnel Yr 1'!$J$5&gt;4,IF(AND(OR(ISBLANK(H45),H45=""),ISBLANK('Personnel Yr 4'!I45)),"",'Personnel Yr 4'!I45),"")</f>
        <v/>
      </c>
      <c r="J45" s="22" t="str">
        <f>IF('Personnel Yr 1'!$J$5&gt;4,IF(AND(OR(ISBLANK(I45),I45=""),ISBLANK('Personnel Yr 4'!J45)),"",'Personnel Yr 4'!J45),"")</f>
        <v/>
      </c>
      <c r="K45" s="22" t="str">
        <f>IF('Personnel Yr 1'!$J$5&gt;4,IF(AND(OR(ISBLANK(J45),J45=""),ISBLANK('Personnel Yr 4'!K45)),"",'Personnel Yr 4'!K45),"")</f>
        <v/>
      </c>
      <c r="L45" s="44" t="str">
        <f>IF('Personnel Yr 1'!$J$5&gt;4,IF(NOT(OR(ISBLANK(H45),H45="")),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1'!$J$5&gt;4,IF(OR(ISBLANK(L45),L45=""),"",ROUND(SUM(T45:V45),2)),"")</f>
        <v/>
      </c>
      <c r="N45" s="51" t="str">
        <f>IF('Personnel Yr 1'!$J$5&gt;4,IF(OR(ISBLANK(M45),M45=""),"",ROUND(SUM(L45:M45),2)),"")</f>
        <v/>
      </c>
      <c r="O45" s="157"/>
      <c r="P45" s="336">
        <f>IF('Personnel Yr 1'!$J$5&gt;4,IF(NOT(OR(ISBLANK(I45),I45="")),(H45/12)*I45,""),0)</f>
        <v>0</v>
      </c>
      <c r="Q45" s="337">
        <f>IF('Personnel Yr 1'!$J$5&gt;4,IF(NOT(OR(ISBLANK(J45),J45="")),(H45/8.5)*J45,""),0)</f>
        <v>0</v>
      </c>
      <c r="R45" s="336">
        <f>IF('Personnel Yr 1'!$J$5&gt;4,IF(NOT(OR(ISBLANK(K45),K45="")),(H45/8.5)*K45,""),0)</f>
        <v>0</v>
      </c>
      <c r="T45" s="336">
        <f t="shared" si="3"/>
        <v>0</v>
      </c>
      <c r="U45" s="336">
        <f t="shared" si="4"/>
        <v>0</v>
      </c>
      <c r="V45" s="336">
        <f t="shared" si="5"/>
        <v>0</v>
      </c>
      <c r="X45" s="336">
        <v>45</v>
      </c>
      <c r="Y45" s="336" t="b">
        <f>IF('Personnel Yr 1'!$J$5&gt;4,IF(OR($N$5&lt;&gt;"Federal - NIH",OR(AND(ISBLANK(I45),ISBLANK(J45),ISBLANK(K45)),AND(I45="",J45="",K45=""))),FALSE,IF(I45&gt;0,H45&gt;NIHSalaryCap,H45&gt;(NIHSalaryCap*8.5)/12)),FALSE)</f>
        <v>0</v>
      </c>
    </row>
    <row r="46" spans="1:25" x14ac:dyDescent="0.2">
      <c r="A46" s="5">
        <v>3</v>
      </c>
      <c r="B46" s="6" t="str">
        <f>IF('Personnel Yr 1'!$J$5&gt;4,IF(NOT(OR(ISBLANK('Personnel Yr 4'!B46),'Personnel Yr 4'!B46="")),'Personnel Yr 4'!B46,""),"")</f>
        <v/>
      </c>
      <c r="C46" s="22" t="str">
        <f>IF('Personnel Yr 1'!$J$5&gt;4,IF(ISBLANK('Personnel Yr 4'!C46),"",'Personnel Yr 4'!C46),"")</f>
        <v/>
      </c>
      <c r="D46" s="22" t="str">
        <f>IF('Personnel Yr 1'!$J$5&gt;4,IF(ISBLANK('Personnel Yr 4'!D46),"",'Personnel Yr 4'!D46),"")</f>
        <v/>
      </c>
      <c r="E46" s="22" t="str">
        <f>IF('Personnel Yr 1'!$J$5&gt;4,IF(ISBLANK('Personnel Yr 4'!E46),"",'Personnel Yr 4'!E46),"")</f>
        <v/>
      </c>
      <c r="F46" s="22" t="str">
        <f>IF('Personnel Yr 1'!$J$5&gt;4,IF(ISBLANK('Personnel Yr 4'!F46),"",'Personnel Yr 4'!F46),"")</f>
        <v/>
      </c>
      <c r="G46" s="70" t="str">
        <f>IF('Personnel Yr 1'!$J$5&gt;4,IF(ISBLANK('Personnel Yr 4'!G46),"",'Personnel Yr 4'!G46),"")</f>
        <v/>
      </c>
      <c r="H46" s="42" t="str">
        <f>IF('Personnel Yr 1'!$J$5&gt;4,IF(NOT(OR(ISBLANK('Personnel Yr 4'!H46),'Personnel Yr 4'!H46="")),(('Personnel Yr 4'!H46*'Personnel Yr 1'!$D$5)+'Personnel Yr 4'!H46),""),"")</f>
        <v/>
      </c>
      <c r="I46" s="22" t="str">
        <f>IF('Personnel Yr 1'!$J$5&gt;4,IF(AND(OR(ISBLANK(H46),H46=""),ISBLANK('Personnel Yr 4'!I46)),"",'Personnel Yr 4'!I46),"")</f>
        <v/>
      </c>
      <c r="J46" s="22" t="str">
        <f>IF('Personnel Yr 1'!$J$5&gt;4,IF(AND(OR(ISBLANK(I46),I46=""),ISBLANK('Personnel Yr 4'!J46)),"",'Personnel Yr 4'!J46),"")</f>
        <v/>
      </c>
      <c r="K46" s="22" t="str">
        <f>IF('Personnel Yr 1'!$J$5&gt;4,IF(AND(OR(ISBLANK(J46),J46=""),ISBLANK('Personnel Yr 4'!K46)),"",'Personnel Yr 4'!K46),"")</f>
        <v/>
      </c>
      <c r="L46" s="44" t="str">
        <f>IF('Personnel Yr 1'!$J$5&gt;4,IF(NOT(OR(ISBLANK(H46),H46="")),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1'!$J$5&gt;4,IF(OR(ISBLANK(L46),L46=""),"",ROUND(SUM(T46:V46),2)),"")</f>
        <v/>
      </c>
      <c r="N46" s="51" t="str">
        <f>IF('Personnel Yr 1'!$J$5&gt;4,IF(OR(ISBLANK(M46),M46=""),"",ROUND(SUM(L46:M46),2)),"")</f>
        <v/>
      </c>
      <c r="O46" s="160"/>
      <c r="P46" s="336">
        <f>IF('Personnel Yr 1'!$J$5&gt;4,IF(NOT(OR(ISBLANK(I46),I46="")),(H46/12)*I46,""),0)</f>
        <v>0</v>
      </c>
      <c r="Q46" s="337">
        <f>IF('Personnel Yr 1'!$J$5&gt;4,IF(NOT(OR(ISBLANK(J46),J46="")),(H46/8.5)*J46,""),0)</f>
        <v>0</v>
      </c>
      <c r="R46" s="336">
        <f>IF('Personnel Yr 1'!$J$5&gt;4,IF(NOT(OR(ISBLANK(K46),K46="")),(H46/8.5)*K46,""),0)</f>
        <v>0</v>
      </c>
      <c r="T46" s="336">
        <f t="shared" si="3"/>
        <v>0</v>
      </c>
      <c r="U46" s="336">
        <f t="shared" si="4"/>
        <v>0</v>
      </c>
      <c r="V46" s="336">
        <f t="shared" si="5"/>
        <v>0</v>
      </c>
      <c r="X46" s="336">
        <v>46</v>
      </c>
      <c r="Y46" s="336" t="b">
        <f>IF('Personnel Yr 1'!$J$5&gt;4,IF(OR($N$5&lt;&gt;"Federal - NIH",OR(AND(ISBLANK(I46),ISBLANK(J46),ISBLANK(K46)),AND(I46="",J46="",K46=""))),FALSE,IF(I46&gt;0,H46&gt;NIHSalaryCap,H46&gt;(NIHSalaryCap*8.5)/12)),FALSE)</f>
        <v>0</v>
      </c>
    </row>
    <row r="47" spans="1:25" x14ac:dyDescent="0.2">
      <c r="A47" s="5">
        <v>4</v>
      </c>
      <c r="B47" s="6" t="str">
        <f>IF('Personnel Yr 1'!$J$5&gt;4,IF(NOT(OR(ISBLANK('Personnel Yr 4'!B47),'Personnel Yr 4'!B47="")),'Personnel Yr 4'!B47,""),"")</f>
        <v/>
      </c>
      <c r="C47" s="22" t="str">
        <f>IF('Personnel Yr 1'!$J$5&gt;4,IF(ISBLANK('Personnel Yr 4'!C47),"",'Personnel Yr 4'!C47),"")</f>
        <v/>
      </c>
      <c r="D47" s="22" t="str">
        <f>IF('Personnel Yr 1'!$J$5&gt;4,IF(ISBLANK('Personnel Yr 4'!D47),"",'Personnel Yr 4'!D47),"")</f>
        <v/>
      </c>
      <c r="E47" s="22" t="str">
        <f>IF('Personnel Yr 1'!$J$5&gt;4,IF(ISBLANK('Personnel Yr 4'!E47),"",'Personnel Yr 4'!E47),"")</f>
        <v/>
      </c>
      <c r="F47" s="22" t="str">
        <f>IF('Personnel Yr 1'!$J$5&gt;4,IF(ISBLANK('Personnel Yr 4'!F47),"",'Personnel Yr 4'!F47),"")</f>
        <v/>
      </c>
      <c r="G47" s="71" t="str">
        <f>IF('Personnel Yr 1'!$J$5&gt;4,IF(ISBLANK('Personnel Yr 4'!G47),"",'Personnel Yr 4'!G47),"")</f>
        <v/>
      </c>
      <c r="H47" s="42" t="str">
        <f>IF('Personnel Yr 1'!$J$5&gt;4,IF(NOT(OR(ISBLANK('Personnel Yr 4'!H47),'Personnel Yr 4'!H47="")),(('Personnel Yr 4'!H47*'Personnel Yr 1'!$D$5)+'Personnel Yr 4'!H47),""),"")</f>
        <v/>
      </c>
      <c r="I47" s="22" t="str">
        <f>IF('Personnel Yr 1'!$J$5&gt;4,IF(AND(OR(ISBLANK(H47),H47=""),ISBLANK('Personnel Yr 4'!I47)),"",'Personnel Yr 4'!I47),"")</f>
        <v/>
      </c>
      <c r="J47" s="22" t="str">
        <f>IF('Personnel Yr 1'!$J$5&gt;4,IF(AND(OR(ISBLANK(I47),I47=""),ISBLANK('Personnel Yr 4'!J47)),"",'Personnel Yr 4'!J47),"")</f>
        <v/>
      </c>
      <c r="K47" s="22" t="str">
        <f>IF('Personnel Yr 1'!$J$5&gt;4,IF(AND(OR(ISBLANK(J47),J47=""),ISBLANK('Personnel Yr 4'!K47)),"",'Personnel Yr 4'!K47),"")</f>
        <v/>
      </c>
      <c r="L47" s="44" t="str">
        <f>IF('Personnel Yr 1'!$J$5&gt;4,IF(NOT(OR(ISBLANK(H47),H47="")),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1'!$J$5&gt;4,IF(OR(ISBLANK(L47),L47=""),"",ROUND(SUM(T47:V47),2)),"")</f>
        <v/>
      </c>
      <c r="N47" s="51" t="str">
        <f>IF('Personnel Yr 1'!$J$5&gt;4,IF(OR(ISBLANK(M47),M47=""),"",ROUND(SUM(L47:M47),2)),"")</f>
        <v/>
      </c>
      <c r="O47" s="159"/>
      <c r="P47" s="336">
        <f>IF('Personnel Yr 1'!$J$5&gt;4,IF(NOT(OR(ISBLANK(I47),I47="")),(H47/12)*I47,""),0)</f>
        <v>0</v>
      </c>
      <c r="Q47" s="337">
        <f>IF('Personnel Yr 1'!$J$5&gt;4,IF(NOT(OR(ISBLANK(J47),J47="")),(H47/8.5)*J47,""),0)</f>
        <v>0</v>
      </c>
      <c r="R47" s="336">
        <f>IF('Personnel Yr 1'!$J$5&gt;4,IF(NOT(OR(ISBLANK(K47),K47="")),(H47/8.5)*K47,""),0)</f>
        <v>0</v>
      </c>
      <c r="T47" s="336">
        <f t="shared" si="3"/>
        <v>0</v>
      </c>
      <c r="U47" s="336">
        <f t="shared" si="4"/>
        <v>0</v>
      </c>
      <c r="V47" s="336">
        <f t="shared" si="5"/>
        <v>0</v>
      </c>
      <c r="X47" s="336">
        <v>47</v>
      </c>
      <c r="Y47" s="336" t="b">
        <f>IF('Personnel Yr 1'!$J$5&gt;4,IF(OR($N$5&lt;&gt;"Federal - NIH",OR(AND(ISBLANK(I47),ISBLANK(J47),ISBLANK(K47)),AND(I47="",J47="",K47=""))),FALSE,IF(I47&gt;0,H47&gt;NIHSalaryCap,H47&gt;(NIHSalaryCap*8.5)/12)),FALSE)</f>
        <v>0</v>
      </c>
    </row>
    <row r="48" spans="1:25" x14ac:dyDescent="0.2">
      <c r="A48" s="5">
        <v>5</v>
      </c>
      <c r="B48" s="6" t="str">
        <f>IF('Personnel Yr 1'!$J$5&gt;4,IF(NOT(OR(ISBLANK('Personnel Yr 4'!B48),'Personnel Yr 4'!B48="")),'Personnel Yr 4'!B48,""),"")</f>
        <v/>
      </c>
      <c r="C48" s="22" t="str">
        <f>IF('Personnel Yr 1'!$J$5&gt;4,IF(ISBLANK('Personnel Yr 4'!C48),"",'Personnel Yr 4'!C48),"")</f>
        <v/>
      </c>
      <c r="D48" s="22" t="str">
        <f>IF('Personnel Yr 1'!$J$5&gt;4,IF(ISBLANK('Personnel Yr 4'!D48),"",'Personnel Yr 4'!D48),"")</f>
        <v/>
      </c>
      <c r="E48" s="22" t="str">
        <f>IF('Personnel Yr 1'!$J$5&gt;4,IF(ISBLANK('Personnel Yr 4'!E48),"",'Personnel Yr 4'!E48),"")</f>
        <v/>
      </c>
      <c r="F48" s="22" t="str">
        <f>IF('Personnel Yr 1'!$J$5&gt;4,IF(ISBLANK('Personnel Yr 4'!F48),"",'Personnel Yr 4'!F48),"")</f>
        <v/>
      </c>
      <c r="G48" s="22" t="str">
        <f>IF('Personnel Yr 1'!$J$5&gt;4,IF(ISBLANK('Personnel Yr 4'!G48),"",'Personnel Yr 4'!G48),"")</f>
        <v/>
      </c>
      <c r="H48" s="42" t="str">
        <f>IF('Personnel Yr 1'!$J$5&gt;4,IF(NOT(OR(ISBLANK('Personnel Yr 4'!H48),'Personnel Yr 4'!H48="")),(('Personnel Yr 4'!H48*'Personnel Yr 1'!$D$5)+'Personnel Yr 4'!H48),""),"")</f>
        <v/>
      </c>
      <c r="I48" s="22" t="str">
        <f>IF('Personnel Yr 1'!$J$5&gt;4,IF(AND(OR(ISBLANK(H48),H48=""),ISBLANK('Personnel Yr 4'!I48)),"",'Personnel Yr 4'!I48),"")</f>
        <v/>
      </c>
      <c r="J48" s="22" t="str">
        <f>IF('Personnel Yr 1'!$J$5&gt;4,IF(AND(OR(ISBLANK(I48),I48=""),ISBLANK('Personnel Yr 4'!J48)),"",'Personnel Yr 4'!J48),"")</f>
        <v/>
      </c>
      <c r="K48" s="22" t="str">
        <f>IF('Personnel Yr 1'!$J$5&gt;4,IF(AND(OR(ISBLANK(J48),J48=""),ISBLANK('Personnel Yr 4'!K48)),"",'Personnel Yr 4'!K48),"")</f>
        <v/>
      </c>
      <c r="L48" s="44" t="str">
        <f>IF('Personnel Yr 1'!$J$5&gt;4,IF(NOT(OR(ISBLANK(H48),H48="")),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1'!$J$5&gt;4,IF(OR(ISBLANK(L48),L48=""),"",ROUND(SUM(T48:V48),2)),"")</f>
        <v/>
      </c>
      <c r="N48" s="51" t="str">
        <f>IF('Personnel Yr 1'!$J$5&gt;4,IF(OR(ISBLANK(M48),M48=""),"",ROUND(SUM(L48:M48),2)),"")</f>
        <v/>
      </c>
      <c r="O48" s="159"/>
      <c r="P48" s="336">
        <f>IF('Personnel Yr 1'!$J$5&gt;4,IF(NOT(OR(ISBLANK(I48),I48="")),(H48/12)*I48,""),0)</f>
        <v>0</v>
      </c>
      <c r="Q48" s="337">
        <f>IF('Personnel Yr 1'!$J$5&gt;4,IF(NOT(OR(ISBLANK(J48),J48="")),(H48/8.5)*J48,""),0)</f>
        <v>0</v>
      </c>
      <c r="R48" s="336">
        <f>IF('Personnel Yr 1'!$J$5&gt;4,IF(NOT(OR(ISBLANK(K48),K48="")),(H48/8.5)*K48,""),0)</f>
        <v>0</v>
      </c>
      <c r="T48" s="336">
        <f t="shared" si="3"/>
        <v>0</v>
      </c>
      <c r="U48" s="336">
        <f t="shared" si="4"/>
        <v>0</v>
      </c>
      <c r="V48" s="336">
        <f t="shared" si="5"/>
        <v>0</v>
      </c>
      <c r="X48" s="336">
        <v>48</v>
      </c>
      <c r="Y48" s="336" t="b">
        <f>IF('Personnel Yr 1'!$J$5&gt;4,IF(OR($N$5&lt;&gt;"Federal - NIH",OR(AND(ISBLANK(I48),ISBLANK(J48),ISBLANK(K48)),AND(I48="",J48="",K48=""))),FALSE,IF(I48&gt;0,H48&gt;NIHSalaryCap,H48&gt;(NIHSalaryCap*8.5)/12)),FALSE)</f>
        <v>0</v>
      </c>
    </row>
    <row r="49" spans="1:25" x14ac:dyDescent="0.2">
      <c r="A49" s="5">
        <v>6</v>
      </c>
      <c r="B49" s="6" t="str">
        <f>IF('Personnel Yr 1'!$J$5&gt;4,IF(NOT(OR(ISBLANK('Personnel Yr 4'!B49),'Personnel Yr 4'!B49="")),'Personnel Yr 4'!B49,""),"")</f>
        <v/>
      </c>
      <c r="C49" s="22" t="str">
        <f>IF('Personnel Yr 1'!$J$5&gt;4,IF(ISBLANK('Personnel Yr 4'!C49),"",'Personnel Yr 4'!C49),"")</f>
        <v/>
      </c>
      <c r="D49" s="22" t="str">
        <f>IF('Personnel Yr 1'!$J$5&gt;4,IF(ISBLANK('Personnel Yr 4'!D49),"",'Personnel Yr 4'!D49),"")</f>
        <v/>
      </c>
      <c r="E49" s="22" t="str">
        <f>IF('Personnel Yr 1'!$J$5&gt;4,IF(ISBLANK('Personnel Yr 4'!E49),"",'Personnel Yr 4'!E49),"")</f>
        <v/>
      </c>
      <c r="F49" s="22" t="str">
        <f>IF('Personnel Yr 1'!$J$5&gt;4,IF(ISBLANK('Personnel Yr 4'!F49),"",'Personnel Yr 4'!F49),"")</f>
        <v/>
      </c>
      <c r="G49" s="22" t="str">
        <f>IF('Personnel Yr 1'!$J$5&gt;4,IF(ISBLANK('Personnel Yr 4'!G49),"",'Personnel Yr 4'!G49),"")</f>
        <v/>
      </c>
      <c r="H49" s="42" t="str">
        <f>IF('Personnel Yr 1'!$J$5&gt;4,IF(NOT(OR(ISBLANK('Personnel Yr 4'!H49),'Personnel Yr 4'!H49="")),(('Personnel Yr 4'!H49*'Personnel Yr 1'!$D$5)+'Personnel Yr 4'!H49),""),"")</f>
        <v/>
      </c>
      <c r="I49" s="22" t="str">
        <f>IF('Personnel Yr 1'!$J$5&gt;4,IF(AND(OR(ISBLANK(H49),H49=""),ISBLANK('Personnel Yr 4'!I49)),"",'Personnel Yr 4'!I49),"")</f>
        <v/>
      </c>
      <c r="J49" s="22" t="str">
        <f>IF('Personnel Yr 1'!$J$5&gt;4,IF(AND(OR(ISBLANK(I49),I49=""),ISBLANK('Personnel Yr 4'!J49)),"",'Personnel Yr 4'!J49),"")</f>
        <v/>
      </c>
      <c r="K49" s="22" t="str">
        <f>IF('Personnel Yr 1'!$J$5&gt;4,IF(AND(OR(ISBLANK(J49),J49=""),ISBLANK('Personnel Yr 4'!K49)),"",'Personnel Yr 4'!K49),"")</f>
        <v/>
      </c>
      <c r="L49" s="44" t="str">
        <f>IF('Personnel Yr 1'!$J$5&gt;4,IF(NOT(OR(ISBLANK(H49),H49="")),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1'!$J$5&gt;4,IF(OR(ISBLANK(L49),L49=""),"",ROUND(SUM(T49:V49),2)),"")</f>
        <v/>
      </c>
      <c r="N49" s="51" t="str">
        <f>IF('Personnel Yr 1'!$J$5&gt;4,IF(OR(ISBLANK(M49),M49=""),"",ROUND(SUM(L49:M49),2)),"")</f>
        <v/>
      </c>
      <c r="O49" s="157"/>
      <c r="P49" s="336">
        <f>IF('Personnel Yr 1'!$J$5&gt;4,IF(NOT(OR(ISBLANK(I49),I49="")),(H49/12)*I49,""),0)</f>
        <v>0</v>
      </c>
      <c r="Q49" s="337">
        <f>IF('Personnel Yr 1'!$J$5&gt;4,IF(NOT(OR(ISBLANK(J49),J49="")),(H49/8.5)*J49,""),0)</f>
        <v>0</v>
      </c>
      <c r="R49" s="336">
        <f>IF('Personnel Yr 1'!$J$5&gt;4,IF(NOT(OR(ISBLANK(K49),K49="")),(H49/8.5)*K49,""),0)</f>
        <v>0</v>
      </c>
      <c r="T49" s="336">
        <f t="shared" si="3"/>
        <v>0</v>
      </c>
      <c r="U49" s="336">
        <f t="shared" si="4"/>
        <v>0</v>
      </c>
      <c r="V49" s="336">
        <f t="shared" si="5"/>
        <v>0</v>
      </c>
      <c r="X49" s="336">
        <v>49</v>
      </c>
      <c r="Y49" s="336" t="b">
        <f>IF('Personnel Yr 1'!$J$5&gt;4,IF(OR($N$5&lt;&gt;"Federal - NIH",OR(AND(ISBLANK(I49),ISBLANK(J49),ISBLANK(K49)),AND(I49="",J49="",K49=""))),FALSE,IF(I49&gt;0,H49&gt;NIHSalaryCap,H49&gt;(NIHSalaryCap*8.5)/12)),FALSE)</f>
        <v>0</v>
      </c>
    </row>
    <row r="50" spans="1:25" x14ac:dyDescent="0.2">
      <c r="A50" s="5">
        <v>7</v>
      </c>
      <c r="B50" s="6" t="str">
        <f>IF('Personnel Yr 1'!$J$5&gt;4,IF(NOT(OR(ISBLANK('Personnel Yr 4'!B50),'Personnel Yr 4'!B50="")),'Personnel Yr 4'!B50,""),"")</f>
        <v/>
      </c>
      <c r="C50" s="22" t="str">
        <f>IF('Personnel Yr 1'!$J$5&gt;4,IF(ISBLANK('Personnel Yr 4'!C50),"",'Personnel Yr 4'!C50),"")</f>
        <v/>
      </c>
      <c r="D50" s="22" t="str">
        <f>IF('Personnel Yr 1'!$J$5&gt;4,IF(ISBLANK('Personnel Yr 4'!D50),"",'Personnel Yr 4'!D50),"")</f>
        <v/>
      </c>
      <c r="E50" s="22" t="str">
        <f>IF('Personnel Yr 1'!$J$5&gt;4,IF(ISBLANK('Personnel Yr 4'!E50),"",'Personnel Yr 4'!E50),"")</f>
        <v/>
      </c>
      <c r="F50" s="22" t="str">
        <f>IF('Personnel Yr 1'!$J$5&gt;4,IF(ISBLANK('Personnel Yr 4'!F50),"",'Personnel Yr 4'!F50),"")</f>
        <v/>
      </c>
      <c r="G50" s="22" t="str">
        <f>IF('Personnel Yr 1'!$J$5&gt;4,IF(ISBLANK('Personnel Yr 4'!G50),"",'Personnel Yr 4'!G50),"")</f>
        <v/>
      </c>
      <c r="H50" s="42" t="str">
        <f>IF('Personnel Yr 1'!$J$5&gt;4,IF(NOT(OR(ISBLANK('Personnel Yr 4'!H50),'Personnel Yr 4'!H50="")),(('Personnel Yr 4'!H50*'Personnel Yr 1'!$D$5)+'Personnel Yr 4'!H50),""),"")</f>
        <v/>
      </c>
      <c r="I50" s="22" t="str">
        <f>IF('Personnel Yr 1'!$J$5&gt;4,IF(AND(OR(ISBLANK(H50),H50=""),ISBLANK('Personnel Yr 4'!I50)),"",'Personnel Yr 4'!I50),"")</f>
        <v/>
      </c>
      <c r="J50" s="22" t="str">
        <f>IF('Personnel Yr 1'!$J$5&gt;4,IF(AND(OR(ISBLANK(I50),I50=""),ISBLANK('Personnel Yr 4'!J50)),"",'Personnel Yr 4'!J50),"")</f>
        <v/>
      </c>
      <c r="K50" s="22" t="str">
        <f>IF('Personnel Yr 1'!$J$5&gt;4,IF(AND(OR(ISBLANK(J50),J50=""),ISBLANK('Personnel Yr 4'!K50)),"",'Personnel Yr 4'!K50),"")</f>
        <v/>
      </c>
      <c r="L50" s="44" t="str">
        <f>IF('Personnel Yr 1'!$J$5&gt;4,IF(NOT(OR(ISBLANK(H50),H50="")),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1'!$J$5&gt;4,IF(OR(ISBLANK(L50),L50=""),"",ROUND(SUM(T50:V50),2)),"")</f>
        <v/>
      </c>
      <c r="N50" s="51" t="str">
        <f>IF('Personnel Yr 1'!$J$5&gt;4,IF(OR(ISBLANK(M50),M50=""),"",ROUND(SUM(L50:M50),2)),"")</f>
        <v/>
      </c>
      <c r="O50" s="159"/>
      <c r="P50" s="336">
        <f>IF('Personnel Yr 1'!$J$5&gt;4,IF(NOT(OR(ISBLANK(I50),I50="")),(H50/12)*I50,""),0)</f>
        <v>0</v>
      </c>
      <c r="Q50" s="337">
        <f>IF('Personnel Yr 1'!$J$5&gt;4,IF(NOT(OR(ISBLANK(J50),J50="")),(H50/8.5)*J50,""),0)</f>
        <v>0</v>
      </c>
      <c r="R50" s="336">
        <f>IF('Personnel Yr 1'!$J$5&gt;4,IF(NOT(OR(ISBLANK(K50),K50="")),(H50/8.5)*K50,""),0)</f>
        <v>0</v>
      </c>
      <c r="T50" s="336">
        <f t="shared" si="3"/>
        <v>0</v>
      </c>
      <c r="U50" s="336">
        <f t="shared" si="4"/>
        <v>0</v>
      </c>
      <c r="V50" s="336">
        <f t="shared" si="5"/>
        <v>0</v>
      </c>
      <c r="X50" s="336">
        <v>50</v>
      </c>
      <c r="Y50" s="336" t="b">
        <f>IF('Personnel Yr 1'!$J$5&gt;4,IF(OR($N$5&lt;&gt;"Federal - NIH",OR(AND(ISBLANK(I50),ISBLANK(J50),ISBLANK(K50)),AND(I50="",J50="",K50=""))),FALSE,IF(I50&gt;0,H50&gt;NIHSalaryCap,H50&gt;(NIHSalaryCap*8.5)/12)),FALSE)</f>
        <v>0</v>
      </c>
    </row>
    <row r="51" spans="1:25" x14ac:dyDescent="0.2">
      <c r="A51" s="5">
        <v>8</v>
      </c>
      <c r="B51" s="75" t="str">
        <f>IF('Personnel Yr 1'!$J$5&gt;4,IF(NOT(OR(ISBLANK('Personnel Yr 4'!B51),'Personnel Yr 4'!B51="")),'Personnel Yr 4'!B51,""),"")</f>
        <v/>
      </c>
      <c r="C51" s="69" t="str">
        <f>IF('Personnel Yr 1'!$J$5&gt;4,IF(ISBLANK('Personnel Yr 4'!C51),"",'Personnel Yr 4'!C51),"")</f>
        <v/>
      </c>
      <c r="D51" s="69" t="str">
        <f>IF('Personnel Yr 1'!$J$5&gt;4,IF(ISBLANK('Personnel Yr 4'!D51),"",'Personnel Yr 4'!D51),"")</f>
        <v/>
      </c>
      <c r="E51" s="69" t="str">
        <f>IF('Personnel Yr 1'!$J$5&gt;4,IF(ISBLANK('Personnel Yr 4'!E51),"",'Personnel Yr 4'!E51),"")</f>
        <v/>
      </c>
      <c r="F51" s="69" t="str">
        <f>IF('Personnel Yr 1'!$J$5&gt;4,IF(ISBLANK('Personnel Yr 4'!F51),"",'Personnel Yr 4'!F51),"")</f>
        <v/>
      </c>
      <c r="G51" s="69" t="str">
        <f>IF('Personnel Yr 1'!$J$5&gt;4,IF(ISBLANK('Personnel Yr 4'!G51),"",'Personnel Yr 4'!G51),"")</f>
        <v/>
      </c>
      <c r="H51" s="42" t="str">
        <f>IF('Personnel Yr 1'!$J$5&gt;4,IF(NOT(OR(ISBLANK('Personnel Yr 4'!H51),'Personnel Yr 4'!H51="")),(('Personnel Yr 4'!H51*'Personnel Yr 1'!$D$5)+'Personnel Yr 4'!H51),""),"")</f>
        <v/>
      </c>
      <c r="I51" s="22" t="str">
        <f>IF('Personnel Yr 1'!$J$5&gt;4,IF(AND(OR(ISBLANK(H51),H51=""),ISBLANK('Personnel Yr 4'!I51)),"",'Personnel Yr 4'!I51),"")</f>
        <v/>
      </c>
      <c r="J51" s="22" t="str">
        <f>IF('Personnel Yr 1'!$J$5&gt;4,IF(AND(OR(ISBLANK(I51),I51=""),ISBLANK('Personnel Yr 4'!J51)),"",'Personnel Yr 4'!J51),"")</f>
        <v/>
      </c>
      <c r="K51" s="22" t="str">
        <f>IF('Personnel Yr 1'!$J$5&gt;4,IF(AND(OR(ISBLANK(J51),J51=""),ISBLANK('Personnel Yr 4'!K51)),"",'Personnel Yr 4'!K51),"")</f>
        <v/>
      </c>
      <c r="L51" s="44" t="str">
        <f>IF('Personnel Yr 1'!$J$5&gt;4,IF(NOT(OR(ISBLANK(H51),H51="")),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1'!$J$5&gt;4,IF(OR(ISBLANK(L51),L51=""),"",ROUND(SUM(T51:V51),2)),"")</f>
        <v/>
      </c>
      <c r="N51" s="50" t="str">
        <f>IF('Personnel Yr 1'!$J$5&gt;4,IF(OR(ISBLANK(M51),M51=""),"",ROUND(SUM(L51:M51),2)),"")</f>
        <v/>
      </c>
      <c r="O51" s="182"/>
      <c r="P51" s="336">
        <f>IF('Personnel Yr 1'!$J$5&gt;4,IF(NOT(OR(ISBLANK(I51),I51="")),(H51/12)*I51,""),0)</f>
        <v>0</v>
      </c>
      <c r="Q51" s="337">
        <f>IF('Personnel Yr 1'!$J$5&gt;4,IF(NOT(OR(ISBLANK(J51),J51="")),(H51/8.5)*J51,""),0)</f>
        <v>0</v>
      </c>
      <c r="R51" s="336">
        <f>IF('Personnel Yr 1'!$J$5&gt;4,IF(NOT(OR(ISBLANK(K51),K51="")),(H51/8.5)*K51,""),0)</f>
        <v>0</v>
      </c>
      <c r="T51" s="336">
        <f t="shared" si="3"/>
        <v>0</v>
      </c>
      <c r="U51" s="336">
        <f t="shared" si="4"/>
        <v>0</v>
      </c>
      <c r="V51" s="336">
        <f t="shared" si="5"/>
        <v>0</v>
      </c>
      <c r="X51" s="336">
        <v>51</v>
      </c>
      <c r="Y51" s="336" t="b">
        <f>IF('Personnel Yr 1'!$J$5&gt;4,IF(OR($N$5&lt;&gt;"Federal - NIH",OR(AND(ISBLANK(I51),ISBLANK(J51),ISBLANK(K51)),AND(I51="",J51="",K51=""))),FALSE,IF(I51&gt;0,H51&gt;NIHSalaryCap,H51&gt;(NIHSalaryCap*8.5)/12)),FALSE)</f>
        <v>0</v>
      </c>
    </row>
    <row r="52" spans="1:25" x14ac:dyDescent="0.2">
      <c r="A52" s="5">
        <v>9</v>
      </c>
      <c r="B52" s="6" t="str">
        <f>IF('Personnel Yr 1'!$J$5&gt;4,IF(NOT(OR(ISBLANK('Personnel Yr 4'!B52),'Personnel Yr 4'!B52="")),'Personnel Yr 4'!B52,""),"")</f>
        <v/>
      </c>
      <c r="C52" s="22" t="str">
        <f>IF('Personnel Yr 1'!$J$5&gt;4,IF(ISBLANK('Personnel Yr 4'!C52),"",'Personnel Yr 4'!C52),"")</f>
        <v/>
      </c>
      <c r="D52" s="22" t="str">
        <f>IF('Personnel Yr 1'!$J$5&gt;4,IF(ISBLANK('Personnel Yr 4'!D52),"",'Personnel Yr 4'!D52),"")</f>
        <v/>
      </c>
      <c r="E52" s="22" t="str">
        <f>IF('Personnel Yr 1'!$J$5&gt;4,IF(ISBLANK('Personnel Yr 4'!E52),"",'Personnel Yr 4'!E52),"")</f>
        <v/>
      </c>
      <c r="F52" s="22" t="str">
        <f>IF('Personnel Yr 1'!$J$5&gt;4,IF(ISBLANK('Personnel Yr 4'!F52),"",'Personnel Yr 4'!F52),"")</f>
        <v/>
      </c>
      <c r="G52" s="71" t="str">
        <f>IF('Personnel Yr 1'!$J$5&gt;4,IF(ISBLANK('Personnel Yr 4'!G52),"",'Personnel Yr 4'!G52),"")</f>
        <v/>
      </c>
      <c r="H52" s="42" t="str">
        <f>IF('Personnel Yr 1'!$J$5&gt;4,IF(NOT(OR(ISBLANK('Personnel Yr 4'!H52),'Personnel Yr 4'!H52="")),(('Personnel Yr 4'!H52*'Personnel Yr 1'!$D$5)+'Personnel Yr 4'!H52),""),"")</f>
        <v/>
      </c>
      <c r="I52" s="22" t="str">
        <f>IF('Personnel Yr 1'!$J$5&gt;4,IF(AND(OR(ISBLANK(H52),H52=""),ISBLANK('Personnel Yr 4'!I52)),"",'Personnel Yr 4'!I52),"")</f>
        <v/>
      </c>
      <c r="J52" s="22" t="str">
        <f>IF('Personnel Yr 1'!$J$5&gt;4,IF(AND(OR(ISBLANK(I52),I52=""),ISBLANK('Personnel Yr 4'!J52)),"",'Personnel Yr 4'!J52),"")</f>
        <v/>
      </c>
      <c r="K52" s="22" t="str">
        <f>IF('Personnel Yr 1'!$J$5&gt;4,IF(AND(OR(ISBLANK(J52),J52=""),ISBLANK('Personnel Yr 4'!K52)),"",'Personnel Yr 4'!K52),"")</f>
        <v/>
      </c>
      <c r="L52" s="44" t="str">
        <f>IF('Personnel Yr 1'!$J$5&gt;4,IF(NOT(OR(ISBLANK(H52),H52="")),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1'!$J$5&gt;4,IF(OR(ISBLANK(L52),L52=""),"",ROUND(SUM(T52:V52),2)),"")</f>
        <v/>
      </c>
      <c r="N52" s="51" t="str">
        <f>IF('Personnel Yr 1'!$J$5&gt;4,IF(OR(ISBLANK(M52),M52=""),"",ROUND(SUM(L52:M52),2)),"")</f>
        <v/>
      </c>
      <c r="O52" s="159"/>
      <c r="P52" s="336">
        <f>IF('Personnel Yr 1'!$J$5&gt;4,IF(NOT(OR(ISBLANK(I52),I52="")),(H52/12)*I52,""),0)</f>
        <v>0</v>
      </c>
      <c r="Q52" s="337">
        <f>IF('Personnel Yr 1'!$J$5&gt;4,IF(NOT(OR(ISBLANK(J52),J52="")),(H52/8.5)*J52,""),0)</f>
        <v>0</v>
      </c>
      <c r="R52" s="336">
        <f>IF('Personnel Yr 1'!$J$5&gt;4,IF(NOT(OR(ISBLANK(K52),K52="")),(H52/8.5)*K52,""),0)</f>
        <v>0</v>
      </c>
      <c r="T52" s="336">
        <f t="shared" si="3"/>
        <v>0</v>
      </c>
      <c r="U52" s="336">
        <f t="shared" si="4"/>
        <v>0</v>
      </c>
      <c r="V52" s="336">
        <f t="shared" si="5"/>
        <v>0</v>
      </c>
      <c r="X52" s="336">
        <v>52</v>
      </c>
      <c r="Y52" s="336" t="b">
        <f>IF('Personnel Yr 1'!$J$5&gt;4,IF(OR($N$5&lt;&gt;"Federal - NIH",OR(AND(ISBLANK(I52),ISBLANK(J52),ISBLANK(K52)),AND(I52="",J52="",K52=""))),FALSE,IF(I52&gt;0,H52&gt;NIHSalaryCap,H52&gt;(NIHSalaryCap*8.5)/12)),FALSE)</f>
        <v>0</v>
      </c>
    </row>
    <row r="53" spans="1:25" x14ac:dyDescent="0.2">
      <c r="A53" s="5">
        <v>10</v>
      </c>
      <c r="B53" s="6" t="str">
        <f>IF('Personnel Yr 1'!$J$5&gt;4,IF(NOT(OR(ISBLANK('Personnel Yr 4'!B53),'Personnel Yr 4'!B53="")),'Personnel Yr 4'!B53,""),"")</f>
        <v/>
      </c>
      <c r="C53" s="22" t="str">
        <f>IF('Personnel Yr 1'!$J$5&gt;4,IF(ISBLANK('Personnel Yr 4'!C53),"",'Personnel Yr 4'!C53),"")</f>
        <v/>
      </c>
      <c r="D53" s="22" t="str">
        <f>IF('Personnel Yr 1'!$J$5&gt;4,IF(ISBLANK('Personnel Yr 4'!D53),"",'Personnel Yr 4'!D53),"")</f>
        <v/>
      </c>
      <c r="E53" s="22" t="str">
        <f>IF('Personnel Yr 1'!$J$5&gt;4,IF(ISBLANK('Personnel Yr 4'!E53),"",'Personnel Yr 4'!E53),"")</f>
        <v/>
      </c>
      <c r="F53" s="22" t="str">
        <f>IF('Personnel Yr 1'!$J$5&gt;4,IF(ISBLANK('Personnel Yr 4'!F53),"",'Personnel Yr 4'!F53),"")</f>
        <v/>
      </c>
      <c r="G53" s="22" t="str">
        <f>IF('Personnel Yr 1'!$J$5&gt;4,IF(ISBLANK('Personnel Yr 4'!G53),"",'Personnel Yr 4'!G53),"")</f>
        <v/>
      </c>
      <c r="H53" s="42" t="str">
        <f>IF('Personnel Yr 1'!$J$5&gt;4,IF(NOT(OR(ISBLANK('Personnel Yr 4'!H53),'Personnel Yr 4'!H53="")),(('Personnel Yr 4'!H53*'Personnel Yr 1'!$D$5)+'Personnel Yr 4'!H53),""),"")</f>
        <v/>
      </c>
      <c r="I53" s="22" t="str">
        <f>IF('Personnel Yr 1'!$J$5&gt;4,IF(AND(OR(ISBLANK(H53),H53=""),ISBLANK('Personnel Yr 4'!I53)),"",'Personnel Yr 4'!I53),"")</f>
        <v/>
      </c>
      <c r="J53" s="22" t="str">
        <f>IF('Personnel Yr 1'!$J$5&gt;4,IF(AND(OR(ISBLANK(I53),I53=""),ISBLANK('Personnel Yr 4'!J53)),"",'Personnel Yr 4'!J53),"")</f>
        <v/>
      </c>
      <c r="K53" s="22" t="str">
        <f>IF('Personnel Yr 1'!$J$5&gt;4,IF(AND(OR(ISBLANK(J53),J53=""),ISBLANK('Personnel Yr 4'!K53)),"",'Personnel Yr 4'!K53),"")</f>
        <v/>
      </c>
      <c r="L53" s="44" t="str">
        <f>IF('Personnel Yr 1'!$J$5&gt;4,IF(NOT(OR(ISBLANK(H53),H53="")),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1'!$J$5&gt;4,IF(OR(ISBLANK(L53),L53=""),"",ROUND(SUM(T53:V53),2)),"")</f>
        <v/>
      </c>
      <c r="N53" s="51" t="str">
        <f>IF('Personnel Yr 1'!$J$5&gt;4,IF(OR(ISBLANK(M53),M53=""),"",ROUND(SUM(L53:M53),2)),"")</f>
        <v/>
      </c>
      <c r="O53" s="159"/>
      <c r="P53" s="336">
        <f>IF('Personnel Yr 1'!$J$5&gt;4,IF(NOT(OR(ISBLANK(I53),I53="")),(H53/12)*I53,""),0)</f>
        <v>0</v>
      </c>
      <c r="Q53" s="337">
        <f>IF('Personnel Yr 1'!$J$5&gt;4,IF(NOT(OR(ISBLANK(J53),J53="")),(H53/8.5)*J53,""),0)</f>
        <v>0</v>
      </c>
      <c r="R53" s="336">
        <f>IF('Personnel Yr 1'!$J$5&gt;4,IF(NOT(OR(ISBLANK(K53),K53="")),(H53/8.5)*K53,""),0)</f>
        <v>0</v>
      </c>
      <c r="T53" s="336">
        <f t="shared" si="3"/>
        <v>0</v>
      </c>
      <c r="U53" s="336">
        <f t="shared" si="4"/>
        <v>0</v>
      </c>
      <c r="V53" s="336">
        <f t="shared" si="5"/>
        <v>0</v>
      </c>
      <c r="X53" s="336">
        <v>53</v>
      </c>
      <c r="Y53" s="336" t="b">
        <f>IF('Personnel Yr 1'!$J$5&gt;4,IF(OR($N$5&lt;&gt;"Federal - NIH",OR(AND(ISBLANK(I53),ISBLANK(J53),ISBLANK(K53)),AND(I53="",J53="",K53=""))),FALSE,IF(I53&gt;0,H53&gt;NIHSalaryCap,H53&gt;(NIHSalaryCap*8.5)/12)),FALSE)</f>
        <v>0</v>
      </c>
    </row>
    <row r="54" spans="1:25" x14ac:dyDescent="0.2">
      <c r="A54" s="5">
        <v>11</v>
      </c>
      <c r="B54" s="6" t="str">
        <f>IF('Personnel Yr 1'!$J$5&gt;4,IF(NOT(OR(ISBLANK('Personnel Yr 4'!B54),'Personnel Yr 4'!B54="")),'Personnel Yr 4'!B54,""),"")</f>
        <v/>
      </c>
      <c r="C54" s="22" t="str">
        <f>IF('Personnel Yr 1'!$J$5&gt;4,IF(ISBLANK('Personnel Yr 4'!C54),"",'Personnel Yr 4'!C54),"")</f>
        <v/>
      </c>
      <c r="D54" s="22" t="str">
        <f>IF('Personnel Yr 1'!$J$5&gt;4,IF(ISBLANK('Personnel Yr 4'!D54),"",'Personnel Yr 4'!D54),"")</f>
        <v/>
      </c>
      <c r="E54" s="22" t="str">
        <f>IF('Personnel Yr 1'!$J$5&gt;4,IF(ISBLANK('Personnel Yr 4'!E54),"",'Personnel Yr 4'!E54),"")</f>
        <v/>
      </c>
      <c r="F54" s="22" t="str">
        <f>IF('Personnel Yr 1'!$J$5&gt;4,IF(ISBLANK('Personnel Yr 4'!F54),"",'Personnel Yr 4'!F54),"")</f>
        <v/>
      </c>
      <c r="G54" s="22" t="str">
        <f>IF('Personnel Yr 1'!$J$5&gt;4,IF(ISBLANK('Personnel Yr 4'!G54),"",'Personnel Yr 4'!G54),"")</f>
        <v/>
      </c>
      <c r="H54" s="42" t="str">
        <f>IF('Personnel Yr 1'!$J$5&gt;4,IF(NOT(OR(ISBLANK('Personnel Yr 4'!H54),'Personnel Yr 4'!H54="")),(('Personnel Yr 4'!H54*'Personnel Yr 1'!$D$5)+'Personnel Yr 4'!H54),""),"")</f>
        <v/>
      </c>
      <c r="I54" s="22" t="str">
        <f>IF('Personnel Yr 1'!$J$5&gt;4,IF(AND(OR(ISBLANK(H54),H54=""),ISBLANK('Personnel Yr 4'!I54)),"",'Personnel Yr 4'!I54),"")</f>
        <v/>
      </c>
      <c r="J54" s="22" t="str">
        <f>IF('Personnel Yr 1'!$J$5&gt;4,IF(AND(OR(ISBLANK(I54),I54=""),ISBLANK('Personnel Yr 4'!J54)),"",'Personnel Yr 4'!J54),"")</f>
        <v/>
      </c>
      <c r="K54" s="22" t="str">
        <f>IF('Personnel Yr 1'!$J$5&gt;4,IF(AND(OR(ISBLANK(J54),J54=""),ISBLANK('Personnel Yr 4'!K54)),"",'Personnel Yr 4'!K54),"")</f>
        <v/>
      </c>
      <c r="L54" s="44" t="str">
        <f>IF('Personnel Yr 1'!$J$5&gt;4,IF(NOT(OR(ISBLANK(H54),H54="")),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1'!$J$5&gt;4,IF(OR(ISBLANK(L54),L54=""),"",ROUND(SUM(T54:V54),2)),"")</f>
        <v/>
      </c>
      <c r="N54" s="51" t="str">
        <f>IF('Personnel Yr 1'!$J$5&gt;4,IF(OR(ISBLANK(M54),M54=""),"",ROUND(SUM(L54:M54),2)),"")</f>
        <v/>
      </c>
      <c r="O54" s="157"/>
      <c r="P54" s="336">
        <f>IF('Personnel Yr 1'!$J$5&gt;4,IF(NOT(OR(ISBLANK(I54),I54="")),(H54/12)*I54,""),0)</f>
        <v>0</v>
      </c>
      <c r="Q54" s="337">
        <f>IF('Personnel Yr 1'!$J$5&gt;4,IF(NOT(OR(ISBLANK(J54),J54="")),(H54/8.5)*J54,""),0)</f>
        <v>0</v>
      </c>
      <c r="R54" s="336">
        <f>IF('Personnel Yr 1'!$J$5&gt;4,IF(NOT(OR(ISBLANK(K54),K54="")),(H54/8.5)*K54,""),0)</f>
        <v>0</v>
      </c>
      <c r="T54" s="336">
        <f t="shared" si="3"/>
        <v>0</v>
      </c>
      <c r="U54" s="336">
        <f t="shared" si="4"/>
        <v>0</v>
      </c>
      <c r="V54" s="336">
        <f t="shared" si="5"/>
        <v>0</v>
      </c>
      <c r="X54" s="336">
        <v>54</v>
      </c>
      <c r="Y54" s="336" t="b">
        <f>IF('Personnel Yr 1'!$J$5&gt;4,IF(OR($N$5&lt;&gt;"Federal - NIH",OR(AND(ISBLANK(I54),ISBLANK(J54),ISBLANK(K54)),AND(I54="",J54="",K54=""))),FALSE,IF(I54&gt;0,H54&gt;NIHSalaryCap,H54&gt;(NIHSalaryCap*8.5)/12)),FALSE)</f>
        <v>0</v>
      </c>
    </row>
    <row r="55" spans="1:25" x14ac:dyDescent="0.2">
      <c r="A55" s="5">
        <v>12</v>
      </c>
      <c r="B55" s="6" t="str">
        <f>IF('Personnel Yr 1'!$J$5&gt;4,IF(NOT(OR(ISBLANK('Personnel Yr 4'!B55),'Personnel Yr 4'!B55="")),'Personnel Yr 4'!B55,""),"")</f>
        <v/>
      </c>
      <c r="C55" s="22" t="str">
        <f>IF('Personnel Yr 1'!$J$5&gt;4,IF(ISBLANK('Personnel Yr 4'!C55),"",'Personnel Yr 4'!C55),"")</f>
        <v/>
      </c>
      <c r="D55" s="22" t="str">
        <f>IF('Personnel Yr 1'!$J$5&gt;4,IF(ISBLANK('Personnel Yr 4'!D55),"",'Personnel Yr 4'!D55),"")</f>
        <v/>
      </c>
      <c r="E55" s="22" t="str">
        <f>IF('Personnel Yr 1'!$J$5&gt;4,IF(ISBLANK('Personnel Yr 4'!E55),"",'Personnel Yr 4'!E55),"")</f>
        <v/>
      </c>
      <c r="F55" s="22" t="str">
        <f>IF('Personnel Yr 1'!$J$5&gt;4,IF(ISBLANK('Personnel Yr 4'!F55),"",'Personnel Yr 4'!F55),"")</f>
        <v/>
      </c>
      <c r="G55" s="22" t="str">
        <f>IF('Personnel Yr 1'!$J$5&gt;4,IF(ISBLANK('Personnel Yr 4'!G55),"",'Personnel Yr 4'!G55),"")</f>
        <v/>
      </c>
      <c r="H55" s="42" t="str">
        <f>IF('Personnel Yr 1'!$J$5&gt;4,IF(NOT(OR(ISBLANK('Personnel Yr 4'!H55),'Personnel Yr 4'!H55="")),(('Personnel Yr 4'!H55*'Personnel Yr 1'!$D$5)+'Personnel Yr 4'!H55),""),"")</f>
        <v/>
      </c>
      <c r="I55" s="22" t="str">
        <f>IF('Personnel Yr 1'!$J$5&gt;4,IF(AND(OR(ISBLANK(H55),H55=""),ISBLANK('Personnel Yr 4'!I55)),"",'Personnel Yr 4'!I55),"")</f>
        <v/>
      </c>
      <c r="J55" s="22" t="str">
        <f>IF('Personnel Yr 1'!$J$5&gt;4,IF(AND(OR(ISBLANK(I55),I55=""),ISBLANK('Personnel Yr 4'!J55)),"",'Personnel Yr 4'!J55),"")</f>
        <v/>
      </c>
      <c r="K55" s="22" t="str">
        <f>IF('Personnel Yr 1'!$J$5&gt;4,IF(AND(OR(ISBLANK(J55),J55=""),ISBLANK('Personnel Yr 4'!K55)),"",'Personnel Yr 4'!K55),"")</f>
        <v/>
      </c>
      <c r="L55" s="44" t="str">
        <f>IF('Personnel Yr 1'!$J$5&gt;4,IF(NOT(OR(ISBLANK(H55),H55="")),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1'!$J$5&gt;4,IF(OR(ISBLANK(L55),L55=""),"",ROUND(SUM(T55:V55),2)),"")</f>
        <v/>
      </c>
      <c r="N55" s="51" t="str">
        <f>IF('Personnel Yr 1'!$J$5&gt;4,IF(OR(ISBLANK(M55),M55=""),"",ROUND(SUM(L55:M55),2)),"")</f>
        <v/>
      </c>
      <c r="O55" s="159"/>
      <c r="P55" s="336">
        <f>IF('Personnel Yr 1'!$J$5&gt;4,IF(NOT(OR(ISBLANK(I55),I55="")),(H55/12)*I55,""),0)</f>
        <v>0</v>
      </c>
      <c r="Q55" s="337">
        <f>IF('Personnel Yr 1'!$J$5&gt;4,IF(NOT(OR(ISBLANK(J55),J55="")),(H55/8.5)*J55,""),0)</f>
        <v>0</v>
      </c>
      <c r="R55" s="336">
        <f>IF('Personnel Yr 1'!$J$5&gt;4,IF(NOT(OR(ISBLANK(K55),K55="")),(H55/8.5)*K55,""),0)</f>
        <v>0</v>
      </c>
      <c r="T55" s="336">
        <f t="shared" si="3"/>
        <v>0</v>
      </c>
      <c r="U55" s="336">
        <f t="shared" si="4"/>
        <v>0</v>
      </c>
      <c r="V55" s="336">
        <f t="shared" si="5"/>
        <v>0</v>
      </c>
      <c r="X55" s="336">
        <v>55</v>
      </c>
      <c r="Y55" s="336" t="b">
        <f>IF('Personnel Yr 1'!$J$5&gt;4,IF(OR($N$5&lt;&gt;"Federal - NIH",OR(AND(ISBLANK(I55),ISBLANK(J55),ISBLANK(K55)),AND(I55="",J55="",K55=""))),FALSE,IF(I55&gt;0,H55&gt;NIHSalaryCap,H55&gt;(NIHSalaryCap*8.5)/12)),FALSE)</f>
        <v>0</v>
      </c>
    </row>
    <row r="56" spans="1:25" x14ac:dyDescent="0.2">
      <c r="A56" s="5">
        <v>13</v>
      </c>
      <c r="B56" s="75" t="str">
        <f>IF('Personnel Yr 1'!$J$5&gt;4,IF(NOT(OR(ISBLANK('Personnel Yr 4'!B56),'Personnel Yr 4'!B56="")),'Personnel Yr 4'!B56,""),"")</f>
        <v/>
      </c>
      <c r="C56" s="69" t="str">
        <f>IF('Personnel Yr 1'!$J$5&gt;4,IF(ISBLANK('Personnel Yr 4'!C56),"",'Personnel Yr 4'!C56),"")</f>
        <v/>
      </c>
      <c r="D56" s="69" t="str">
        <f>IF('Personnel Yr 1'!$J$5&gt;4,IF(ISBLANK('Personnel Yr 4'!D56),"",'Personnel Yr 4'!D56),"")</f>
        <v/>
      </c>
      <c r="E56" s="69" t="str">
        <f>IF('Personnel Yr 1'!$J$5&gt;4,IF(ISBLANK('Personnel Yr 4'!E56),"",'Personnel Yr 4'!E56),"")</f>
        <v/>
      </c>
      <c r="F56" s="69" t="str">
        <f>IF('Personnel Yr 1'!$J$5&gt;4,IF(ISBLANK('Personnel Yr 4'!F56),"",'Personnel Yr 4'!F56),"")</f>
        <v/>
      </c>
      <c r="G56" s="69" t="str">
        <f>IF('Personnel Yr 1'!$J$5&gt;4,IF(ISBLANK('Personnel Yr 4'!G56),"",'Personnel Yr 4'!G56),"")</f>
        <v/>
      </c>
      <c r="H56" s="42" t="str">
        <f>IF('Personnel Yr 1'!$J$5&gt;4,IF(NOT(OR(ISBLANK('Personnel Yr 4'!H56),'Personnel Yr 4'!H56="")),(('Personnel Yr 4'!H56*'Personnel Yr 1'!$D$5)+'Personnel Yr 4'!H56),""),"")</f>
        <v/>
      </c>
      <c r="I56" s="22" t="str">
        <f>IF('Personnel Yr 1'!$J$5&gt;4,IF(AND(OR(ISBLANK(H56),H56=""),ISBLANK('Personnel Yr 4'!I56)),"",'Personnel Yr 4'!I56),"")</f>
        <v/>
      </c>
      <c r="J56" s="22" t="str">
        <f>IF('Personnel Yr 1'!$J$5&gt;4,IF(AND(OR(ISBLANK(I56),I56=""),ISBLANK('Personnel Yr 4'!J56)),"",'Personnel Yr 4'!J56),"")</f>
        <v/>
      </c>
      <c r="K56" s="22" t="str">
        <f>IF('Personnel Yr 1'!$J$5&gt;4,IF(AND(OR(ISBLANK(J56),J56=""),ISBLANK('Personnel Yr 4'!K56)),"",'Personnel Yr 4'!K56),"")</f>
        <v/>
      </c>
      <c r="L56" s="44" t="str">
        <f>IF('Personnel Yr 1'!$J$5&gt;4,IF(NOT(OR(ISBLANK(H56),H56="")),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1'!$J$5&gt;4,IF(OR(ISBLANK(L56),L56=""),"",ROUND(SUM(T56:V56),2)),"")</f>
        <v/>
      </c>
      <c r="N56" s="50" t="str">
        <f>IF('Personnel Yr 1'!$J$5&gt;4,IF(OR(ISBLANK(M56),M56=""),"",ROUND(SUM(L56:M56),2)),"")</f>
        <v/>
      </c>
      <c r="O56" s="182"/>
      <c r="P56" s="336">
        <f>IF('Personnel Yr 1'!$J$5&gt;4,IF(NOT(OR(ISBLANK(I56),I56="")),(H56/12)*I56,""),0)</f>
        <v>0</v>
      </c>
      <c r="Q56" s="337">
        <f>IF('Personnel Yr 1'!$J$5&gt;4,IF(NOT(OR(ISBLANK(J56),J56="")),(H56/8.5)*J56,""),0)</f>
        <v>0</v>
      </c>
      <c r="R56" s="336">
        <f>IF('Personnel Yr 1'!$J$5&gt;4,IF(NOT(OR(ISBLANK(K56),K56="")),(H56/8.5)*K56,""),0)</f>
        <v>0</v>
      </c>
      <c r="T56" s="336">
        <f t="shared" si="3"/>
        <v>0</v>
      </c>
      <c r="U56" s="336">
        <f t="shared" si="4"/>
        <v>0</v>
      </c>
      <c r="V56" s="336">
        <f t="shared" si="5"/>
        <v>0</v>
      </c>
      <c r="X56" s="336">
        <v>56</v>
      </c>
      <c r="Y56" s="336" t="b">
        <f>IF('Personnel Yr 1'!$J$5&gt;4,IF(OR($N$5&lt;&gt;"Federal - NIH",OR(AND(ISBLANK(I56),ISBLANK(J56),ISBLANK(K56)),AND(I56="",J56="",K56=""))),FALSE,IF(I56&gt;0,H56&gt;NIHSalaryCap,H56&gt;(NIHSalaryCap*8.5)/12)),FALSE)</f>
        <v>0</v>
      </c>
    </row>
    <row r="57" spans="1:25" x14ac:dyDescent="0.2">
      <c r="A57" s="5">
        <v>14</v>
      </c>
      <c r="B57" s="6" t="str">
        <f>IF('Personnel Yr 1'!$J$5&gt;4,IF(NOT(OR(ISBLANK('Personnel Yr 4'!B57),'Personnel Yr 4'!B57="")),'Personnel Yr 4'!B57,""),"")</f>
        <v/>
      </c>
      <c r="C57" s="22" t="str">
        <f>IF('Personnel Yr 1'!$J$5&gt;4,IF(ISBLANK('Personnel Yr 4'!C57),"",'Personnel Yr 4'!C57),"")</f>
        <v/>
      </c>
      <c r="D57" s="22" t="str">
        <f>IF('Personnel Yr 1'!$J$5&gt;4,IF(ISBLANK('Personnel Yr 4'!D57),"",'Personnel Yr 4'!D57),"")</f>
        <v/>
      </c>
      <c r="E57" s="22" t="str">
        <f>IF('Personnel Yr 1'!$J$5&gt;4,IF(ISBLANK('Personnel Yr 4'!E57),"",'Personnel Yr 4'!E57),"")</f>
        <v/>
      </c>
      <c r="F57" s="22" t="str">
        <f>IF('Personnel Yr 1'!$J$5&gt;4,IF(ISBLANK('Personnel Yr 4'!F57),"",'Personnel Yr 4'!F57),"")</f>
        <v/>
      </c>
      <c r="G57" s="22" t="str">
        <f>IF('Personnel Yr 1'!$J$5&gt;4,IF(ISBLANK('Personnel Yr 4'!G57),"",'Personnel Yr 4'!G57),"")</f>
        <v/>
      </c>
      <c r="H57" s="42" t="str">
        <f>IF('Personnel Yr 1'!$J$5&gt;4,IF(NOT(OR(ISBLANK('Personnel Yr 4'!H57),'Personnel Yr 4'!H57="")),(('Personnel Yr 4'!H57*'Personnel Yr 1'!$D$5)+'Personnel Yr 4'!H57),""),"")</f>
        <v/>
      </c>
      <c r="I57" s="22" t="str">
        <f>IF('Personnel Yr 1'!$J$5&gt;4,IF(AND(OR(ISBLANK(H57),H57=""),ISBLANK('Personnel Yr 4'!I57)),"",'Personnel Yr 4'!I57),"")</f>
        <v/>
      </c>
      <c r="J57" s="22" t="str">
        <f>IF('Personnel Yr 1'!$J$5&gt;4,IF(AND(OR(ISBLANK(I57),I57=""),ISBLANK('Personnel Yr 4'!J57)),"",'Personnel Yr 4'!J57),"")</f>
        <v/>
      </c>
      <c r="K57" s="22" t="str">
        <f>IF('Personnel Yr 1'!$J$5&gt;4,IF(AND(OR(ISBLANK(J57),J57=""),ISBLANK('Personnel Yr 4'!K57)),"",'Personnel Yr 4'!K57),"")</f>
        <v/>
      </c>
      <c r="L57" s="44" t="str">
        <f>IF('Personnel Yr 1'!$J$5&gt;4,IF(NOT(OR(ISBLANK(H57),H57="")),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1'!$J$5&gt;4,IF(OR(ISBLANK(L57),L57=""),"",ROUND(SUM(T57:V57),2)),"")</f>
        <v/>
      </c>
      <c r="N57" s="51" t="str">
        <f>IF('Personnel Yr 1'!$J$5&gt;4,IF(OR(ISBLANK(M57),M57=""),"",ROUND(SUM(L57:M57),2)),"")</f>
        <v/>
      </c>
      <c r="O57" s="157"/>
      <c r="P57" s="336">
        <f>IF('Personnel Yr 1'!$J$5&gt;4,IF(NOT(OR(ISBLANK(I57),I57="")),(H57/12)*I57,""),0)</f>
        <v>0</v>
      </c>
      <c r="Q57" s="337">
        <f>IF('Personnel Yr 1'!$J$5&gt;4,IF(NOT(OR(ISBLANK(J57),J57="")),(H57/8.5)*J57,""),0)</f>
        <v>0</v>
      </c>
      <c r="R57" s="336">
        <f>IF('Personnel Yr 1'!$J$5&gt;4,IF(NOT(OR(ISBLANK(K57),K57="")),(H57/8.5)*K57,""),0)</f>
        <v>0</v>
      </c>
      <c r="T57" s="336">
        <f t="shared" si="3"/>
        <v>0</v>
      </c>
      <c r="U57" s="336">
        <f t="shared" si="4"/>
        <v>0</v>
      </c>
      <c r="V57" s="336">
        <f t="shared" si="5"/>
        <v>0</v>
      </c>
      <c r="X57" s="336">
        <v>57</v>
      </c>
      <c r="Y57" s="336" t="b">
        <f>IF('Personnel Yr 1'!$J$5&gt;4,IF(OR($N$5&lt;&gt;"Federal - NIH",OR(AND(ISBLANK(I57),ISBLANK(J57),ISBLANK(K57)),AND(I57="",J57="",K57=""))),FALSE,IF(I57&gt;0,H57&gt;NIHSalaryCap,H57&gt;(NIHSalaryCap*8.5)/12)),FALSE)</f>
        <v>0</v>
      </c>
    </row>
    <row r="58" spans="1:25" ht="13.5" thickBot="1" x14ac:dyDescent="0.25">
      <c r="A58" s="5">
        <v>15</v>
      </c>
      <c r="B58" s="175" t="str">
        <f>IF('Personnel Yr 1'!$J$5&gt;4,IF(NOT(OR(ISBLANK('Personnel Yr 4'!B58),'Personnel Yr 4'!B58="")),'Personnel Yr 4'!B58,""),"")</f>
        <v/>
      </c>
      <c r="C58" s="29" t="str">
        <f>IF('Personnel Yr 1'!$J$5&gt;4,IF(ISBLANK('Personnel Yr 4'!C58),"",'Personnel Yr 4'!C58),"")</f>
        <v/>
      </c>
      <c r="D58" s="29" t="str">
        <f>IF('Personnel Yr 1'!$J$5&gt;4,IF(ISBLANK('Personnel Yr 4'!D58),"",'Personnel Yr 4'!D58),"")</f>
        <v/>
      </c>
      <c r="E58" s="29" t="str">
        <f>IF('Personnel Yr 1'!$J$5&gt;4,IF(ISBLANK('Personnel Yr 4'!E58),"",'Personnel Yr 4'!E58),"")</f>
        <v/>
      </c>
      <c r="F58" s="29" t="str">
        <f>IF('Personnel Yr 1'!$J$5&gt;4,IF(ISBLANK('Personnel Yr 4'!F58),"",'Personnel Yr 4'!F58),"")</f>
        <v/>
      </c>
      <c r="G58" s="179" t="str">
        <f>IF('Personnel Yr 1'!$J$5&gt;4,IF(ISBLANK('Personnel Yr 4'!G58),"",'Personnel Yr 4'!G58),"")</f>
        <v/>
      </c>
      <c r="H58" s="43" t="str">
        <f>IF('Personnel Yr 1'!$J$5&gt;4,IF(NOT(OR(ISBLANK('Personnel Yr 4'!H58),'Personnel Yr 4'!H58="")),(('Personnel Yr 4'!H58*'Personnel Yr 1'!$D$5)+'Personnel Yr 4'!H58),""),"")</f>
        <v/>
      </c>
      <c r="I58" s="29" t="str">
        <f>IF('Personnel Yr 1'!$J$5&gt;4,IF(AND(OR(ISBLANK(H58),H58=""),ISBLANK('Personnel Yr 4'!I58)),"",'Personnel Yr 4'!I58),"")</f>
        <v/>
      </c>
      <c r="J58" s="29" t="str">
        <f>IF('Personnel Yr 1'!$J$5&gt;4,IF(AND(OR(ISBLANK(I58),I58=""),ISBLANK('Personnel Yr 4'!J58)),"",'Personnel Yr 4'!J58),"")</f>
        <v/>
      </c>
      <c r="K58" s="29" t="str">
        <f>IF('Personnel Yr 1'!$J$5&gt;4,IF(AND(OR(ISBLANK(J58),J58=""),ISBLANK('Personnel Yr 4'!K58)),"",'Personnel Yr 4'!K58),"")</f>
        <v/>
      </c>
      <c r="L58" s="52" t="str">
        <f>IF('Personnel Yr 1'!$J$5&gt;4,IF(NOT(OR(ISBLANK(H58),H58="")),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1'!$J$5&gt;4,IF(OR(ISBLANK(L58),L58=""),"",ROUND(SUM(T58:V58),2)),"")</f>
        <v/>
      </c>
      <c r="N58" s="181" t="str">
        <f>IF('Personnel Yr 1'!$J$5&gt;4,IF(OR(ISBLANK(M58),M58=""),"",ROUND(SUM(L58:M58),2)),"")</f>
        <v/>
      </c>
      <c r="O58" s="161"/>
      <c r="P58" s="336">
        <f>IF('Personnel Yr 1'!$J$5&gt;4,IF(NOT(OR(ISBLANK(I58),I58="")),(H58/12)*I58,""),0)</f>
        <v>0</v>
      </c>
      <c r="Q58" s="337">
        <f>IF('Personnel Yr 1'!$J$5&gt;4,IF(NOT(OR(ISBLANK(J58),J58="")),(H58/8.5)*J58,""),0)</f>
        <v>0</v>
      </c>
      <c r="R58" s="336">
        <f>IF('Personnel Yr 1'!$J$5&gt;4,IF(NOT(OR(ISBLANK(K58),K58="")),(H58/8.5)*K58,""),0)</f>
        <v>0</v>
      </c>
      <c r="T58" s="336">
        <f t="shared" si="3"/>
        <v>0</v>
      </c>
      <c r="U58" s="336">
        <f t="shared" si="4"/>
        <v>0</v>
      </c>
      <c r="V58" s="336">
        <f t="shared" si="5"/>
        <v>0</v>
      </c>
      <c r="X58" s="336">
        <v>58</v>
      </c>
      <c r="Y58" s="336" t="b">
        <f>IF('Personnel Yr 1'!$J$5&gt;4,IF(OR($N$5&lt;&gt;"Federal - NIH",OR(AND(ISBLANK(I58),ISBLANK(J58),ISBLANK(K58)),AND(I58="",J58="",K58=""))),FALSE,IF(I58&gt;0,H58&gt;NIHSalaryCap,H58&gt;(NIHSalaryCap*8.5)/12)),FALSE)</f>
        <v>0</v>
      </c>
    </row>
    <row r="59" spans="1:25" ht="13.5" thickBot="1" x14ac:dyDescent="0.25">
      <c r="B59" s="27">
        <f>ROWS(E44:E58)-COUNTIF(E44:E58,"")</f>
        <v>0</v>
      </c>
      <c r="N59" s="56">
        <f>SUM(N44:N58)</f>
        <v>0</v>
      </c>
      <c r="P59" s="336">
        <f>SUM(P44:P58)</f>
        <v>0</v>
      </c>
      <c r="Q59" s="336">
        <f t="shared" ref="Q59:V59" si="6">SUM(Q44:Q58)</f>
        <v>0</v>
      </c>
      <c r="R59" s="336">
        <f t="shared" si="6"/>
        <v>0</v>
      </c>
      <c r="S59" s="336">
        <f t="shared" si="6"/>
        <v>0</v>
      </c>
      <c r="T59" s="336">
        <f t="shared" si="6"/>
        <v>0</v>
      </c>
      <c r="U59" s="336">
        <f t="shared" si="6"/>
        <v>0</v>
      </c>
      <c r="V59" s="336">
        <f t="shared" si="6"/>
        <v>0</v>
      </c>
    </row>
  </sheetData>
  <sheetProtection algorithmName="SHA-512" hashValue="WuDn/d6N/QZxMy1gpawheuPxFmalGHmzXP+15OmhVbRBZJcDX3raTuCDmFY2DlBLOwLl4IC9ZhJppaBl6j+O2g==" saltValue="Yi/zxeQa0n0fqQB0snHfjg==" spinCount="100000" sheet="1" objects="1" scenarios="1"/>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6">
    <cfRule type="cellIs" dxfId="11" priority="34" stopIfTrue="1" operator="lessThan">
      <formula>1</formula>
    </cfRule>
  </conditionalFormatting>
  <conditionalFormatting sqref="H23">
    <cfRule type="cellIs" dxfId="10" priority="35" stopIfTrue="1" operator="equal">
      <formula>""</formula>
    </cfRule>
  </conditionalFormatting>
  <conditionalFormatting sqref="L27:L28">
    <cfRule type="cellIs" dxfId="9" priority="32" stopIfTrue="1" operator="lessThan">
      <formula>1</formula>
    </cfRule>
  </conditionalFormatting>
  <conditionalFormatting sqref="H7:H14">
    <cfRule type="expression" dxfId="8" priority="4">
      <formula>$Y$7</formula>
    </cfRule>
  </conditionalFormatting>
  <conditionalFormatting sqref="H44:H58">
    <cfRule type="expression" dxfId="7" priority="1">
      <formula>$Y$7</formula>
    </cfRule>
  </conditionalFormatting>
  <dataValidations count="3">
    <dataValidation type="list" allowBlank="1" showInputMessage="1" showErrorMessage="1" sqref="H23" xr:uid="{00000000-0002-0000-0500-000000000000}">
      <formula1>Grad</formula1>
    </dataValidation>
    <dataValidation type="list" allowBlank="1" showInputMessage="1" showErrorMessage="1" sqref="B7:B14 B44:B58" xr:uid="{00000000-0002-0000-0500-000001000000}">
      <formula1>Prefix</formula1>
    </dataValidation>
    <dataValidation type="list" allowBlank="1" showInputMessage="1" showErrorMessage="1" sqref="G7:G14 G44:G58" xr:uid="{00000000-0002-0000-0500-000002000000}">
      <formula1>Roles</formula1>
    </dataValidation>
  </dataValidations>
  <printOptions horizontalCentered="1"/>
  <pageMargins left="0.25" right="0.25" top="0.5" bottom="0.5" header="0.5" footer="0.5"/>
  <pageSetup scale="93" orientation="landscape" r:id="rId1"/>
  <headerFooter alignWithMargins="0">
    <oddFooter>&amp;RPrinted On: &amp;D &amp;T</oddFooter>
  </headerFooter>
  <ignoredErrors>
    <ignoredError sqref="N21:N25 M21:M24 B21:G22 H21:H26 I21:K26 L28:L30 I29:K30 H15:H20 H29:H30 B7:G14 B29:G30 L21:L22 N7:N14 N30 M29:M30 L15:L20 N17:N20 M15:M20 B17:G20 I15:K20 B44:G57 B58:G58 C15:G15 C16:F16 B24:G24 B23:C23 G23 L24:L27 B26:G26 B25 D25:G25" unlockedFormula="1"/>
    <ignoredError sqref="M25" formula="1" unlockedFormula="1"/>
    <ignoredError sqref="G35" evalError="1"/>
  </ignoredErrors>
  <extLst>
    <ext xmlns:x14="http://schemas.microsoft.com/office/spreadsheetml/2009/9/main" uri="{78C0D931-6437-407d-A8EE-F0AAD7539E65}">
      <x14:conditionalFormattings>
        <x14:conditionalFormatting xmlns:xm="http://schemas.microsoft.com/office/excel/2006/main">
          <x14:cfRule type="expression" priority="31" id="{7B70ABE4-2E25-4023-AF78-AE7E69E0C4C1}">
            <xm:f>IF('Personnel Yr 1'!N5="Federal - NIH",SUM('Non-personnel'!$P$41,$N$23)/IF(OR(ISBLANK($B$23),NOT(ISNUMBER($B$23))),1,$B$23)&gt;NIHGradLimit)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allowBlank="1" showInputMessage="1" showErrorMessage="1" errorTitle="Salary Cap Error" error="Base salary should remain under $185,100 for calandar appointments and $131,112 for academic appointments." xr:uid="{00000000-0002-0000-05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500-000004000000}">
          <x14:formula1>
            <xm:f>OR(AND('Personnel Yr 1'!N5="Federal - NIH",SUM('Non-personnel'!$P$41,$N$23)/IF(OR(ISBLANK(B23),NOT(ISNUMBER(B23))),1,B23)&lt;=NIHGradLimit),'Personnel Yr 1'!N5&lt;&gt;"Federal - NIH")</xm:f>
          </x14:formula1>
          <xm:sqref>L23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93"/>
  <sheetViews>
    <sheetView zoomScaleNormal="100" workbookViewId="0">
      <selection sqref="A1:S1"/>
    </sheetView>
  </sheetViews>
  <sheetFormatPr defaultRowHeight="12.75" x14ac:dyDescent="0.2"/>
  <cols>
    <col min="1" max="1" width="3" bestFit="1" customWidth="1"/>
    <col min="2" max="2" width="12.7109375" customWidth="1"/>
    <col min="3" max="4" width="10" customWidth="1"/>
    <col min="5" max="5" width="8.7109375" customWidth="1"/>
    <col min="6" max="6" width="8.85546875" customWidth="1"/>
    <col min="7" max="8" width="10" customWidth="1"/>
    <col min="9" max="9" width="10" hidden="1" customWidth="1"/>
    <col min="11" max="17" width="0" hidden="1" customWidth="1"/>
    <col min="19" max="19" width="0.140625" customWidth="1"/>
    <col min="20" max="20" width="74.5703125" bestFit="1" customWidth="1"/>
  </cols>
  <sheetData>
    <row r="1" spans="1:21" ht="18" x14ac:dyDescent="0.25">
      <c r="A1" s="561" t="s">
        <v>507</v>
      </c>
      <c r="B1" s="561"/>
      <c r="C1" s="561"/>
      <c r="D1" s="561"/>
      <c r="E1" s="561"/>
      <c r="F1" s="561"/>
      <c r="G1" s="561"/>
      <c r="H1" s="561"/>
      <c r="I1" s="561"/>
      <c r="J1" s="561"/>
      <c r="K1" s="561"/>
      <c r="L1" s="561"/>
      <c r="M1" s="561"/>
      <c r="N1" s="561"/>
      <c r="O1" s="561"/>
      <c r="P1" s="561"/>
      <c r="Q1" s="561"/>
      <c r="R1" s="561"/>
      <c r="S1" s="561"/>
    </row>
    <row r="2" spans="1:21" x14ac:dyDescent="0.2">
      <c r="A2" s="1"/>
      <c r="B2" s="1"/>
      <c r="C2" s="1"/>
      <c r="D2" s="1"/>
      <c r="E2" s="1"/>
      <c r="F2" s="1"/>
      <c r="G2" s="1"/>
      <c r="H2" s="1"/>
      <c r="I2" s="1"/>
      <c r="J2" s="1"/>
      <c r="K2" s="1"/>
      <c r="L2" s="1"/>
      <c r="M2" s="1"/>
      <c r="N2" s="1"/>
      <c r="O2" s="31"/>
      <c r="P2" s="31"/>
      <c r="Q2" s="31"/>
      <c r="R2" s="31"/>
      <c r="S2" s="31"/>
    </row>
    <row r="3" spans="1:21" ht="18" x14ac:dyDescent="0.25">
      <c r="A3" s="561" t="s">
        <v>82</v>
      </c>
      <c r="B3" s="561"/>
      <c r="C3" s="561"/>
      <c r="D3" s="561"/>
      <c r="E3" s="561"/>
      <c r="F3" s="561"/>
      <c r="G3" s="561"/>
      <c r="H3" s="561"/>
      <c r="I3" s="561"/>
      <c r="J3" s="561"/>
      <c r="K3" s="561"/>
      <c r="L3" s="561"/>
      <c r="M3" s="561"/>
      <c r="N3" s="561"/>
      <c r="O3" s="561"/>
      <c r="P3" s="561"/>
      <c r="Q3" s="561"/>
      <c r="R3" s="561"/>
      <c r="S3" s="561"/>
    </row>
    <row r="4" spans="1:21" x14ac:dyDescent="0.2">
      <c r="B4" s="575" t="s">
        <v>14</v>
      </c>
      <c r="C4" s="575"/>
      <c r="D4" s="575"/>
    </row>
    <row r="5" spans="1:21" x14ac:dyDescent="0.2">
      <c r="B5" s="725" t="s">
        <v>15</v>
      </c>
      <c r="C5" s="725"/>
      <c r="D5" s="725"/>
      <c r="E5" s="725"/>
      <c r="F5" s="725"/>
      <c r="G5" s="725"/>
      <c r="H5" s="725"/>
      <c r="I5" s="725"/>
      <c r="J5" s="725"/>
    </row>
    <row r="6" spans="1:21" ht="16.5" customHeight="1" thickBot="1" x14ac:dyDescent="0.25">
      <c r="A6" s="5"/>
      <c r="B6" s="725" t="s">
        <v>75</v>
      </c>
      <c r="C6" s="726"/>
      <c r="D6" s="726"/>
      <c r="E6" s="726"/>
      <c r="F6" s="726"/>
      <c r="G6" s="726"/>
      <c r="H6" s="637" t="s">
        <v>35</v>
      </c>
      <c r="I6" s="637"/>
      <c r="J6" s="637" t="s">
        <v>36</v>
      </c>
      <c r="K6" s="637"/>
      <c r="L6" s="637" t="s">
        <v>37</v>
      </c>
      <c r="M6" s="637"/>
      <c r="N6" s="637" t="s">
        <v>38</v>
      </c>
      <c r="O6" s="637"/>
      <c r="P6" s="637" t="s">
        <v>39</v>
      </c>
      <c r="Q6" s="637"/>
      <c r="R6" s="637" t="s">
        <v>40</v>
      </c>
      <c r="S6" s="637"/>
      <c r="T6" s="3" t="s">
        <v>253</v>
      </c>
      <c r="U6" s="78"/>
    </row>
    <row r="7" spans="1:21" x14ac:dyDescent="0.2">
      <c r="A7" s="5">
        <v>1</v>
      </c>
      <c r="B7" s="727"/>
      <c r="C7" s="728"/>
      <c r="D7" s="728"/>
      <c r="E7" s="728"/>
      <c r="F7" s="728"/>
      <c r="G7" s="728"/>
      <c r="H7" s="700"/>
      <c r="I7" s="701"/>
      <c r="J7" s="700"/>
      <c r="K7" s="701"/>
      <c r="L7" s="700"/>
      <c r="M7" s="701"/>
      <c r="N7" s="700"/>
      <c r="O7" s="701"/>
      <c r="P7" s="700"/>
      <c r="Q7" s="701"/>
      <c r="R7" s="672">
        <f>SUM(H7:Q7)</f>
        <v>0</v>
      </c>
      <c r="S7" s="673"/>
      <c r="T7" s="162"/>
    </row>
    <row r="8" spans="1:21" x14ac:dyDescent="0.2">
      <c r="A8" s="5">
        <v>2</v>
      </c>
      <c r="B8" s="605"/>
      <c r="C8" s="716"/>
      <c r="D8" s="716"/>
      <c r="E8" s="716"/>
      <c r="F8" s="716"/>
      <c r="G8" s="716"/>
      <c r="H8" s="712"/>
      <c r="I8" s="713"/>
      <c r="J8" s="628"/>
      <c r="K8" s="629"/>
      <c r="L8" s="628"/>
      <c r="M8" s="629"/>
      <c r="N8" s="628"/>
      <c r="O8" s="629"/>
      <c r="P8" s="628"/>
      <c r="Q8" s="629"/>
      <c r="R8" s="650">
        <f t="shared" ref="R8:R14" si="0">SUM(H8:Q8)</f>
        <v>0</v>
      </c>
      <c r="S8" s="651"/>
      <c r="T8" s="20"/>
    </row>
    <row r="9" spans="1:21" x14ac:dyDescent="0.2">
      <c r="A9" s="5">
        <v>3</v>
      </c>
      <c r="B9" s="605"/>
      <c r="C9" s="716"/>
      <c r="D9" s="716"/>
      <c r="E9" s="716"/>
      <c r="F9" s="716"/>
      <c r="G9" s="716"/>
      <c r="H9" s="712"/>
      <c r="I9" s="713"/>
      <c r="J9" s="628"/>
      <c r="K9" s="629"/>
      <c r="L9" s="628"/>
      <c r="M9" s="629"/>
      <c r="N9" s="628"/>
      <c r="O9" s="629"/>
      <c r="P9" s="628"/>
      <c r="Q9" s="629"/>
      <c r="R9" s="650">
        <f t="shared" si="0"/>
        <v>0</v>
      </c>
      <c r="S9" s="651"/>
      <c r="T9" s="20"/>
    </row>
    <row r="10" spans="1:21" hidden="1" x14ac:dyDescent="0.2">
      <c r="A10" s="5">
        <v>4</v>
      </c>
      <c r="B10" s="605"/>
      <c r="C10" s="716"/>
      <c r="D10" s="716"/>
      <c r="E10" s="716"/>
      <c r="F10" s="716"/>
      <c r="G10" s="716"/>
      <c r="H10" s="712"/>
      <c r="I10" s="713"/>
      <c r="J10" s="628"/>
      <c r="K10" s="629"/>
      <c r="L10" s="628"/>
      <c r="M10" s="629"/>
      <c r="N10" s="628"/>
      <c r="O10" s="629"/>
      <c r="P10" s="628"/>
      <c r="Q10" s="629"/>
      <c r="R10" s="650">
        <f t="shared" si="0"/>
        <v>0</v>
      </c>
      <c r="S10" s="651"/>
      <c r="T10" s="20"/>
    </row>
    <row r="11" spans="1:21" hidden="1" x14ac:dyDescent="0.2">
      <c r="A11" s="5">
        <v>5</v>
      </c>
      <c r="B11" s="605"/>
      <c r="C11" s="716"/>
      <c r="D11" s="716"/>
      <c r="E11" s="716"/>
      <c r="F11" s="716"/>
      <c r="G11" s="716"/>
      <c r="H11" s="712"/>
      <c r="I11" s="713"/>
      <c r="J11" s="628"/>
      <c r="K11" s="629"/>
      <c r="L11" s="628"/>
      <c r="M11" s="629"/>
      <c r="N11" s="628"/>
      <c r="O11" s="629"/>
      <c r="P11" s="628"/>
      <c r="Q11" s="629"/>
      <c r="R11" s="650">
        <f t="shared" si="0"/>
        <v>0</v>
      </c>
      <c r="S11" s="651"/>
      <c r="T11" s="20"/>
    </row>
    <row r="12" spans="1:21" hidden="1" x14ac:dyDescent="0.2">
      <c r="A12" s="5">
        <v>6</v>
      </c>
      <c r="B12" s="605"/>
      <c r="C12" s="716"/>
      <c r="D12" s="716"/>
      <c r="E12" s="716"/>
      <c r="F12" s="716"/>
      <c r="G12" s="716"/>
      <c r="H12" s="712"/>
      <c r="I12" s="713"/>
      <c r="J12" s="628"/>
      <c r="K12" s="629"/>
      <c r="L12" s="628"/>
      <c r="M12" s="629"/>
      <c r="N12" s="628"/>
      <c r="O12" s="629"/>
      <c r="P12" s="628"/>
      <c r="Q12" s="629"/>
      <c r="R12" s="650">
        <f t="shared" si="0"/>
        <v>0</v>
      </c>
      <c r="S12" s="651"/>
      <c r="T12" s="20"/>
    </row>
    <row r="13" spans="1:21" hidden="1" x14ac:dyDescent="0.2">
      <c r="A13" s="5">
        <v>7</v>
      </c>
      <c r="B13" s="605"/>
      <c r="C13" s="716"/>
      <c r="D13" s="716"/>
      <c r="E13" s="716"/>
      <c r="F13" s="716"/>
      <c r="G13" s="716"/>
      <c r="H13" s="712"/>
      <c r="I13" s="713"/>
      <c r="J13" s="628"/>
      <c r="K13" s="629"/>
      <c r="L13" s="628"/>
      <c r="M13" s="629"/>
      <c r="N13" s="628"/>
      <c r="O13" s="629"/>
      <c r="P13" s="628"/>
      <c r="Q13" s="629"/>
      <c r="R13" s="650">
        <f t="shared" si="0"/>
        <v>0</v>
      </c>
      <c r="S13" s="651"/>
      <c r="T13" s="20"/>
    </row>
    <row r="14" spans="1:21" ht="13.5" hidden="1" thickBot="1" x14ac:dyDescent="0.25">
      <c r="A14" s="5">
        <v>8</v>
      </c>
      <c r="B14" s="714"/>
      <c r="C14" s="715"/>
      <c r="D14" s="715"/>
      <c r="E14" s="715"/>
      <c r="F14" s="715"/>
      <c r="G14" s="715"/>
      <c r="H14" s="712"/>
      <c r="I14" s="713"/>
      <c r="J14" s="704"/>
      <c r="K14" s="705"/>
      <c r="L14" s="704"/>
      <c r="M14" s="705"/>
      <c r="N14" s="704"/>
      <c r="O14" s="705"/>
      <c r="P14" s="704"/>
      <c r="Q14" s="705"/>
      <c r="R14" s="667">
        <f t="shared" si="0"/>
        <v>0</v>
      </c>
      <c r="S14" s="668"/>
      <c r="T14" s="164"/>
    </row>
    <row r="15" spans="1:21" ht="13.5" thickBot="1" x14ac:dyDescent="0.25">
      <c r="B15" s="9"/>
      <c r="C15" s="9"/>
      <c r="D15" s="9"/>
      <c r="E15" s="9"/>
      <c r="F15" s="571" t="s">
        <v>18</v>
      </c>
      <c r="G15" s="571"/>
      <c r="H15" s="708">
        <f>SUM(H7:I14)</f>
        <v>0</v>
      </c>
      <c r="I15" s="709"/>
      <c r="J15" s="708">
        <f>SUM(J7:K14)</f>
        <v>0</v>
      </c>
      <c r="K15" s="709"/>
      <c r="L15" s="708">
        <f>SUM(L7:M14)</f>
        <v>0</v>
      </c>
      <c r="M15" s="709"/>
      <c r="N15" s="708">
        <f>SUM(N7:O14)</f>
        <v>0</v>
      </c>
      <c r="O15" s="709"/>
      <c r="P15" s="708">
        <f>SUM(P7:Q14)</f>
        <v>0</v>
      </c>
      <c r="Q15" s="709"/>
      <c r="R15" s="706">
        <f>SUM(R7:S14)</f>
        <v>0</v>
      </c>
      <c r="S15" s="707"/>
    </row>
    <row r="17" spans="1:20" x14ac:dyDescent="0.2">
      <c r="B17" s="575" t="s">
        <v>16</v>
      </c>
      <c r="C17" s="575"/>
      <c r="D17" s="575"/>
    </row>
    <row r="18" spans="1:20" ht="26.25" thickBot="1" x14ac:dyDescent="0.25">
      <c r="B18" s="12"/>
      <c r="C18" s="12"/>
      <c r="D18" s="12"/>
      <c r="H18" s="637" t="s">
        <v>35</v>
      </c>
      <c r="I18" s="637"/>
      <c r="J18" s="637" t="s">
        <v>36</v>
      </c>
      <c r="K18" s="637"/>
      <c r="L18" s="637" t="s">
        <v>37</v>
      </c>
      <c r="M18" s="637"/>
      <c r="N18" s="637" t="s">
        <v>38</v>
      </c>
      <c r="O18" s="637"/>
      <c r="P18" s="637" t="s">
        <v>39</v>
      </c>
      <c r="Q18" s="637"/>
      <c r="R18" s="637" t="s">
        <v>40</v>
      </c>
      <c r="S18" s="637"/>
      <c r="T18" s="3" t="s">
        <v>253</v>
      </c>
    </row>
    <row r="19" spans="1:20" x14ac:dyDescent="0.2">
      <c r="A19" s="5">
        <v>1</v>
      </c>
      <c r="B19" s="719" t="s">
        <v>125</v>
      </c>
      <c r="C19" s="720"/>
      <c r="D19" s="720"/>
      <c r="E19" s="720"/>
      <c r="F19" s="720"/>
      <c r="G19" s="720"/>
      <c r="H19" s="700"/>
      <c r="I19" s="701"/>
      <c r="J19" s="700"/>
      <c r="K19" s="701"/>
      <c r="L19" s="700"/>
      <c r="M19" s="701"/>
      <c r="N19" s="700"/>
      <c r="O19" s="701"/>
      <c r="P19" s="700"/>
      <c r="Q19" s="701"/>
      <c r="R19" s="672">
        <f>SUM(H19:Q19)</f>
        <v>0</v>
      </c>
      <c r="S19" s="673"/>
      <c r="T19" s="162"/>
    </row>
    <row r="20" spans="1:20" ht="13.5" thickBot="1" x14ac:dyDescent="0.25">
      <c r="A20" s="5">
        <v>2</v>
      </c>
      <c r="B20" s="717" t="s">
        <v>17</v>
      </c>
      <c r="C20" s="718"/>
      <c r="D20" s="718"/>
      <c r="E20" s="718"/>
      <c r="F20" s="718"/>
      <c r="G20" s="718"/>
      <c r="H20" s="704"/>
      <c r="I20" s="705"/>
      <c r="J20" s="704"/>
      <c r="K20" s="705"/>
      <c r="L20" s="704"/>
      <c r="M20" s="705"/>
      <c r="N20" s="704"/>
      <c r="O20" s="705"/>
      <c r="P20" s="704"/>
      <c r="Q20" s="705"/>
      <c r="R20" s="667">
        <f>SUM(H20:Q20)</f>
        <v>0</v>
      </c>
      <c r="S20" s="668"/>
      <c r="T20" s="165"/>
    </row>
    <row r="21" spans="1:20" ht="13.5" thickBot="1" x14ac:dyDescent="0.25">
      <c r="A21" s="9"/>
      <c r="B21" s="32"/>
      <c r="C21" s="32"/>
      <c r="D21" s="32"/>
      <c r="E21" s="32"/>
      <c r="F21" s="571" t="s">
        <v>19</v>
      </c>
      <c r="G21" s="571"/>
      <c r="H21" s="670">
        <f>SUM(H19:I20)</f>
        <v>0</v>
      </c>
      <c r="I21" s="671"/>
      <c r="J21" s="670">
        <f>SUM(J19:K20)</f>
        <v>0</v>
      </c>
      <c r="K21" s="671"/>
      <c r="L21" s="670">
        <f>SUM(L19:M20)</f>
        <v>0</v>
      </c>
      <c r="M21" s="671"/>
      <c r="N21" s="670">
        <f>SUM(N19:O20)</f>
        <v>0</v>
      </c>
      <c r="O21" s="671"/>
      <c r="P21" s="670">
        <f>SUM(P19:Q20)</f>
        <v>0</v>
      </c>
      <c r="Q21" s="671"/>
      <c r="R21" s="670">
        <f>SUM(R19:S20)</f>
        <v>0</v>
      </c>
      <c r="S21" s="671"/>
      <c r="T21" s="166"/>
    </row>
    <row r="23" spans="1:20" x14ac:dyDescent="0.2">
      <c r="B23" s="575" t="s">
        <v>20</v>
      </c>
      <c r="C23" s="575"/>
      <c r="D23" s="575"/>
      <c r="E23" s="575"/>
    </row>
    <row r="24" spans="1:20" ht="26.25" thickBot="1" x14ac:dyDescent="0.25">
      <c r="B24" s="79"/>
      <c r="C24" s="79"/>
      <c r="D24" s="79"/>
      <c r="E24" s="79"/>
      <c r="F24" s="79"/>
      <c r="G24" s="79"/>
      <c r="H24" s="699" t="s">
        <v>35</v>
      </c>
      <c r="I24" s="699"/>
      <c r="J24" s="699" t="s">
        <v>36</v>
      </c>
      <c r="K24" s="699"/>
      <c r="L24" s="699" t="s">
        <v>37</v>
      </c>
      <c r="M24" s="699"/>
      <c r="N24" s="699" t="s">
        <v>38</v>
      </c>
      <c r="O24" s="699"/>
      <c r="P24" s="699" t="s">
        <v>39</v>
      </c>
      <c r="Q24" s="699"/>
      <c r="R24" s="699" t="s">
        <v>40</v>
      </c>
      <c r="S24" s="699"/>
      <c r="T24" s="3" t="s">
        <v>253</v>
      </c>
    </row>
    <row r="25" spans="1:20" x14ac:dyDescent="0.2">
      <c r="A25" s="33">
        <v>1</v>
      </c>
      <c r="B25" s="723" t="s">
        <v>27</v>
      </c>
      <c r="C25" s="724"/>
      <c r="D25" s="724"/>
      <c r="E25" s="724"/>
      <c r="F25" s="724"/>
      <c r="G25" s="724"/>
      <c r="H25" s="710"/>
      <c r="I25" s="711"/>
      <c r="J25" s="710"/>
      <c r="K25" s="711"/>
      <c r="L25" s="710"/>
      <c r="M25" s="711"/>
      <c r="N25" s="710"/>
      <c r="O25" s="711"/>
      <c r="P25" s="710"/>
      <c r="Q25" s="711"/>
      <c r="R25" s="621">
        <f>SUM(H25:Q25)</f>
        <v>0</v>
      </c>
      <c r="S25" s="622"/>
      <c r="T25" s="162"/>
    </row>
    <row r="26" spans="1:20" x14ac:dyDescent="0.2">
      <c r="A26" s="33">
        <v>2</v>
      </c>
      <c r="B26" s="602" t="s">
        <v>28</v>
      </c>
      <c r="C26" s="722"/>
      <c r="D26" s="722"/>
      <c r="E26" s="722"/>
      <c r="F26" s="722"/>
      <c r="G26" s="722"/>
      <c r="H26" s="628"/>
      <c r="I26" s="629"/>
      <c r="J26" s="628"/>
      <c r="K26" s="629"/>
      <c r="L26" s="628"/>
      <c r="M26" s="629"/>
      <c r="N26" s="628"/>
      <c r="O26" s="629"/>
      <c r="P26" s="628"/>
      <c r="Q26" s="629"/>
      <c r="R26" s="650">
        <f>SUM(H26:Q26)</f>
        <v>0</v>
      </c>
      <c r="S26" s="651"/>
      <c r="T26" s="20"/>
    </row>
    <row r="27" spans="1:20" x14ac:dyDescent="0.2">
      <c r="A27" s="33">
        <v>3</v>
      </c>
      <c r="B27" s="602" t="s">
        <v>29</v>
      </c>
      <c r="C27" s="722"/>
      <c r="D27" s="722"/>
      <c r="E27" s="722"/>
      <c r="F27" s="722"/>
      <c r="G27" s="722"/>
      <c r="H27" s="628"/>
      <c r="I27" s="629"/>
      <c r="J27" s="628"/>
      <c r="K27" s="629"/>
      <c r="L27" s="628"/>
      <c r="M27" s="629"/>
      <c r="N27" s="628"/>
      <c r="O27" s="629"/>
      <c r="P27" s="628"/>
      <c r="Q27" s="629"/>
      <c r="R27" s="650">
        <f>SUM(H27:Q27)</f>
        <v>0</v>
      </c>
      <c r="S27" s="651"/>
      <c r="T27" s="20"/>
    </row>
    <row r="28" spans="1:20" ht="13.5" thickBot="1" x14ac:dyDescent="0.25">
      <c r="A28" s="33">
        <v>4</v>
      </c>
      <c r="B28" s="600" t="s">
        <v>30</v>
      </c>
      <c r="C28" s="721"/>
      <c r="D28" s="721"/>
      <c r="E28" s="721"/>
      <c r="F28" s="721"/>
      <c r="G28" s="601"/>
      <c r="H28" s="628"/>
      <c r="I28" s="629"/>
      <c r="J28" s="628"/>
      <c r="K28" s="629"/>
      <c r="L28" s="628"/>
      <c r="M28" s="629"/>
      <c r="N28" s="628"/>
      <c r="O28" s="629"/>
      <c r="P28" s="628"/>
      <c r="Q28" s="629"/>
      <c r="R28" s="650">
        <f>SUM(H28:Q28)</f>
        <v>0</v>
      </c>
      <c r="S28" s="651"/>
      <c r="T28" s="164"/>
    </row>
    <row r="29" spans="1:20" ht="13.5" thickBot="1" x14ac:dyDescent="0.25">
      <c r="A29" s="9"/>
      <c r="B29" s="8"/>
      <c r="C29" s="618" t="s">
        <v>471</v>
      </c>
      <c r="D29" s="563"/>
      <c r="E29" s="563"/>
      <c r="F29" s="573" t="s">
        <v>59</v>
      </c>
      <c r="G29" s="574"/>
      <c r="H29" s="643">
        <f>SUM(H25:I28)</f>
        <v>0</v>
      </c>
      <c r="I29" s="644"/>
      <c r="J29" s="643">
        <f>SUM(J25:K28)</f>
        <v>0</v>
      </c>
      <c r="K29" s="644"/>
      <c r="L29" s="643">
        <f>SUM(L25:M28)</f>
        <v>0</v>
      </c>
      <c r="M29" s="644"/>
      <c r="N29" s="643">
        <f>SUM(N25:O28)</f>
        <v>0</v>
      </c>
      <c r="O29" s="644"/>
      <c r="P29" s="643">
        <f>SUM(P25:Q28)</f>
        <v>0</v>
      </c>
      <c r="Q29" s="644"/>
      <c r="R29" s="643">
        <f>SUM(R25:S28)</f>
        <v>0</v>
      </c>
      <c r="S29" s="644"/>
    </row>
    <row r="30" spans="1:20" x14ac:dyDescent="0.2">
      <c r="G30" s="9"/>
      <c r="S30" s="34"/>
    </row>
    <row r="32" spans="1:20" x14ac:dyDescent="0.2">
      <c r="B32" s="575" t="s">
        <v>22</v>
      </c>
      <c r="C32" s="575"/>
      <c r="D32" s="575"/>
      <c r="E32" s="575"/>
    </row>
    <row r="33" spans="1:20" ht="26.25" thickBot="1" x14ac:dyDescent="0.25">
      <c r="A33" s="5"/>
      <c r="H33" s="637" t="s">
        <v>35</v>
      </c>
      <c r="I33" s="637"/>
      <c r="J33" s="637" t="s">
        <v>36</v>
      </c>
      <c r="K33" s="637"/>
      <c r="L33" s="637" t="s">
        <v>37</v>
      </c>
      <c r="M33" s="637"/>
      <c r="N33" s="637" t="s">
        <v>38</v>
      </c>
      <c r="O33" s="637"/>
      <c r="P33" s="637" t="s">
        <v>39</v>
      </c>
      <c r="Q33" s="637"/>
      <c r="R33" s="637" t="s">
        <v>40</v>
      </c>
      <c r="S33" s="637"/>
      <c r="T33" s="3" t="s">
        <v>253</v>
      </c>
    </row>
    <row r="34" spans="1:20" x14ac:dyDescent="0.2">
      <c r="A34" s="5">
        <v>1</v>
      </c>
      <c r="B34" s="577" t="s">
        <v>23</v>
      </c>
      <c r="C34" s="578"/>
      <c r="D34" s="578"/>
      <c r="E34" s="578"/>
      <c r="F34" s="578"/>
      <c r="G34" s="578"/>
      <c r="H34" s="700"/>
      <c r="I34" s="701"/>
      <c r="J34" s="700"/>
      <c r="K34" s="701"/>
      <c r="L34" s="700"/>
      <c r="M34" s="701"/>
      <c r="N34" s="700"/>
      <c r="O34" s="701"/>
      <c r="P34" s="700"/>
      <c r="Q34" s="701"/>
      <c r="R34" s="672">
        <f>SUM(H34:Q34)</f>
        <v>0</v>
      </c>
      <c r="S34" s="673"/>
      <c r="T34" s="162"/>
    </row>
    <row r="35" spans="1:20" x14ac:dyDescent="0.2">
      <c r="A35" s="5">
        <v>2</v>
      </c>
      <c r="B35" s="580" t="s">
        <v>24</v>
      </c>
      <c r="C35" s="581"/>
      <c r="D35" s="581"/>
      <c r="E35" s="581"/>
      <c r="F35" s="581"/>
      <c r="G35" s="581"/>
      <c r="H35" s="628"/>
      <c r="I35" s="629"/>
      <c r="J35" s="628"/>
      <c r="K35" s="629"/>
      <c r="L35" s="628"/>
      <c r="M35" s="629"/>
      <c r="N35" s="628"/>
      <c r="O35" s="629"/>
      <c r="P35" s="628"/>
      <c r="Q35" s="629"/>
      <c r="R35" s="650">
        <f>SUM(H35:Q35)</f>
        <v>0</v>
      </c>
      <c r="S35" s="651"/>
      <c r="T35" s="20"/>
    </row>
    <row r="36" spans="1:20" x14ac:dyDescent="0.2">
      <c r="A36" s="5">
        <v>3</v>
      </c>
      <c r="B36" s="580" t="s">
        <v>25</v>
      </c>
      <c r="C36" s="581"/>
      <c r="D36" s="581"/>
      <c r="E36" s="581"/>
      <c r="F36" s="581"/>
      <c r="G36" s="581"/>
      <c r="H36" s="628"/>
      <c r="I36" s="629"/>
      <c r="J36" s="628"/>
      <c r="K36" s="629"/>
      <c r="L36" s="628"/>
      <c r="M36" s="629"/>
      <c r="N36" s="628"/>
      <c r="O36" s="629"/>
      <c r="P36" s="628"/>
      <c r="Q36" s="629"/>
      <c r="R36" s="650">
        <f t="shared" ref="R36:R46" si="1">SUM(H36:Q36)</f>
        <v>0</v>
      </c>
      <c r="S36" s="651"/>
      <c r="T36" s="20"/>
    </row>
    <row r="37" spans="1:20" x14ac:dyDescent="0.2">
      <c r="A37" s="5">
        <v>4</v>
      </c>
      <c r="B37" s="580" t="s">
        <v>214</v>
      </c>
      <c r="C37" s="581"/>
      <c r="D37" s="581"/>
      <c r="E37" s="581"/>
      <c r="F37" s="581"/>
      <c r="G37" s="581"/>
      <c r="H37" s="628"/>
      <c r="I37" s="629"/>
      <c r="J37" s="628"/>
      <c r="K37" s="629"/>
      <c r="L37" s="628"/>
      <c r="M37" s="629"/>
      <c r="N37" s="628"/>
      <c r="O37" s="629"/>
      <c r="P37" s="628"/>
      <c r="Q37" s="629"/>
      <c r="R37" s="650">
        <f t="shared" si="1"/>
        <v>0</v>
      </c>
      <c r="S37" s="651"/>
      <c r="T37" s="20"/>
    </row>
    <row r="38" spans="1:20" hidden="1" x14ac:dyDescent="0.2">
      <c r="A38" s="5">
        <v>5</v>
      </c>
      <c r="B38" s="580" t="s">
        <v>219</v>
      </c>
      <c r="C38" s="581"/>
      <c r="D38" s="581"/>
      <c r="E38" s="581"/>
      <c r="F38" s="581"/>
      <c r="G38" s="581"/>
      <c r="H38" s="678">
        <f>SUM(H90,I90)</f>
        <v>0</v>
      </c>
      <c r="I38" s="679"/>
      <c r="J38" s="678">
        <f>SUM(J90,K90)</f>
        <v>0</v>
      </c>
      <c r="K38" s="679"/>
      <c r="L38" s="678">
        <f>SUM(L90,M90)</f>
        <v>0</v>
      </c>
      <c r="M38" s="679"/>
      <c r="N38" s="678">
        <f>SUM(N90,O90)</f>
        <v>0</v>
      </c>
      <c r="O38" s="679"/>
      <c r="P38" s="678">
        <f>SUM(P90,Q90)</f>
        <v>0</v>
      </c>
      <c r="Q38" s="679"/>
      <c r="R38" s="650">
        <f t="shared" si="1"/>
        <v>0</v>
      </c>
      <c r="S38" s="651"/>
      <c r="T38" s="20"/>
    </row>
    <row r="39" spans="1:20" x14ac:dyDescent="0.2">
      <c r="A39" s="5">
        <v>5</v>
      </c>
      <c r="B39" s="669" t="s">
        <v>405</v>
      </c>
      <c r="C39" s="581"/>
      <c r="D39" s="581"/>
      <c r="E39" s="581"/>
      <c r="F39" s="581"/>
      <c r="G39" s="581"/>
      <c r="H39" s="628"/>
      <c r="I39" s="629"/>
      <c r="J39" s="628"/>
      <c r="K39" s="629"/>
      <c r="L39" s="628"/>
      <c r="M39" s="629"/>
      <c r="N39" s="628"/>
      <c r="O39" s="629"/>
      <c r="P39" s="628"/>
      <c r="Q39" s="629"/>
      <c r="R39" s="650">
        <f t="shared" si="1"/>
        <v>0</v>
      </c>
      <c r="S39" s="651"/>
      <c r="T39" s="20"/>
    </row>
    <row r="40" spans="1:20" x14ac:dyDescent="0.2">
      <c r="A40" s="5">
        <v>6</v>
      </c>
      <c r="B40" s="580" t="s">
        <v>216</v>
      </c>
      <c r="C40" s="581"/>
      <c r="D40" s="581"/>
      <c r="E40" s="581"/>
      <c r="F40" s="581"/>
      <c r="G40" s="581"/>
      <c r="H40" s="628"/>
      <c r="I40" s="629"/>
      <c r="J40" s="628"/>
      <c r="K40" s="629"/>
      <c r="L40" s="628"/>
      <c r="M40" s="629"/>
      <c r="N40" s="628"/>
      <c r="O40" s="629"/>
      <c r="P40" s="628"/>
      <c r="Q40" s="629"/>
      <c r="R40" s="650">
        <f t="shared" si="1"/>
        <v>0</v>
      </c>
      <c r="S40" s="651"/>
      <c r="T40" s="20"/>
    </row>
    <row r="41" spans="1:20" hidden="1" x14ac:dyDescent="0.2">
      <c r="A41" s="5">
        <v>7</v>
      </c>
      <c r="B41" s="580" t="s">
        <v>429</v>
      </c>
      <c r="C41" s="581"/>
      <c r="D41" s="630" t="s">
        <v>111</v>
      </c>
      <c r="E41" s="630"/>
      <c r="F41" s="631" t="s">
        <v>513</v>
      </c>
      <c r="G41" s="632"/>
      <c r="H41" s="628"/>
      <c r="I41" s="629"/>
      <c r="J41" s="628"/>
      <c r="K41" s="629"/>
      <c r="L41" s="628"/>
      <c r="M41" s="629"/>
      <c r="N41" s="628"/>
      <c r="O41" s="629"/>
      <c r="P41" s="628"/>
      <c r="Q41" s="629"/>
      <c r="R41" s="650">
        <f t="shared" si="1"/>
        <v>0</v>
      </c>
      <c r="S41" s="651"/>
      <c r="T41" s="20"/>
    </row>
    <row r="42" spans="1:20" s="259" customFormat="1" hidden="1" x14ac:dyDescent="0.2">
      <c r="A42" s="5">
        <v>8</v>
      </c>
      <c r="B42" s="623" t="s">
        <v>430</v>
      </c>
      <c r="C42" s="624"/>
      <c r="D42" s="624"/>
      <c r="E42" s="624"/>
      <c r="F42" s="624"/>
      <c r="G42" s="625"/>
      <c r="H42" s="628"/>
      <c r="I42" s="629"/>
      <c r="J42" s="628"/>
      <c r="K42" s="629"/>
      <c r="L42" s="628"/>
      <c r="M42" s="629"/>
      <c r="N42" s="628"/>
      <c r="O42" s="629"/>
      <c r="P42" s="628"/>
      <c r="Q42" s="629"/>
      <c r="R42" s="650">
        <f>SUM(H42:Q42)</f>
        <v>0</v>
      </c>
      <c r="S42" s="651"/>
      <c r="T42" s="247"/>
    </row>
    <row r="43" spans="1:20" s="259" customFormat="1" x14ac:dyDescent="0.2">
      <c r="A43" s="5">
        <v>7</v>
      </c>
      <c r="B43" s="626" t="s">
        <v>431</v>
      </c>
      <c r="C43" s="627"/>
      <c r="D43" s="627"/>
      <c r="E43" s="627"/>
      <c r="F43" s="627"/>
      <c r="G43" s="627"/>
      <c r="H43" s="628"/>
      <c r="I43" s="629"/>
      <c r="J43" s="628"/>
      <c r="K43" s="629"/>
      <c r="L43" s="628"/>
      <c r="M43" s="629"/>
      <c r="N43" s="628"/>
      <c r="O43" s="629"/>
      <c r="P43" s="628"/>
      <c r="Q43" s="629"/>
      <c r="R43" s="621">
        <f t="shared" ref="R43" si="2">SUM(H43:Q43)</f>
        <v>0</v>
      </c>
      <c r="S43" s="622"/>
      <c r="T43" s="18"/>
    </row>
    <row r="44" spans="1:20" s="245" customFormat="1" x14ac:dyDescent="0.2">
      <c r="A44" s="5">
        <v>8</v>
      </c>
      <c r="B44" s="652" t="s">
        <v>217</v>
      </c>
      <c r="C44" s="653"/>
      <c r="D44" s="653"/>
      <c r="E44" s="653"/>
      <c r="F44" s="653"/>
      <c r="G44" s="653"/>
      <c r="H44" s="628"/>
      <c r="I44" s="629"/>
      <c r="J44" s="628"/>
      <c r="K44" s="629"/>
      <c r="L44" s="628"/>
      <c r="M44" s="629"/>
      <c r="N44" s="628"/>
      <c r="O44" s="629"/>
      <c r="P44" s="628"/>
      <c r="Q44" s="629"/>
      <c r="R44" s="650">
        <f t="shared" ref="R44" si="3">SUM(H44:Q44)</f>
        <v>0</v>
      </c>
      <c r="S44" s="651"/>
      <c r="T44" s="20"/>
    </row>
    <row r="45" spans="1:20" s="245" customFormat="1" x14ac:dyDescent="0.2">
      <c r="A45" s="5">
        <v>9</v>
      </c>
      <c r="B45" s="652" t="s">
        <v>217</v>
      </c>
      <c r="C45" s="653"/>
      <c r="D45" s="653"/>
      <c r="E45" s="653"/>
      <c r="F45" s="653"/>
      <c r="G45" s="653"/>
      <c r="H45" s="628"/>
      <c r="I45" s="629"/>
      <c r="J45" s="628"/>
      <c r="K45" s="629"/>
      <c r="L45" s="628"/>
      <c r="M45" s="629"/>
      <c r="N45" s="628"/>
      <c r="O45" s="629"/>
      <c r="P45" s="628"/>
      <c r="Q45" s="629"/>
      <c r="R45" s="650">
        <f>SUM(H45:Q45)</f>
        <v>0</v>
      </c>
      <c r="S45" s="651"/>
      <c r="T45" s="247"/>
    </row>
    <row r="46" spans="1:20" x14ac:dyDescent="0.2">
      <c r="A46" s="5">
        <v>10</v>
      </c>
      <c r="B46" s="626" t="s">
        <v>217</v>
      </c>
      <c r="C46" s="627"/>
      <c r="D46" s="627"/>
      <c r="E46" s="627"/>
      <c r="F46" s="627"/>
      <c r="G46" s="627"/>
      <c r="H46" s="628"/>
      <c r="I46" s="629"/>
      <c r="J46" s="628"/>
      <c r="K46" s="629"/>
      <c r="L46" s="628"/>
      <c r="M46" s="629"/>
      <c r="N46" s="628"/>
      <c r="O46" s="629"/>
      <c r="P46" s="628"/>
      <c r="Q46" s="629"/>
      <c r="R46" s="621">
        <f t="shared" si="1"/>
        <v>0</v>
      </c>
      <c r="S46" s="622"/>
      <c r="T46" s="18"/>
    </row>
    <row r="47" spans="1:20" ht="13.5" thickBot="1" x14ac:dyDescent="0.25">
      <c r="A47" s="5">
        <v>11</v>
      </c>
      <c r="B47" s="702" t="s">
        <v>217</v>
      </c>
      <c r="C47" s="703"/>
      <c r="D47" s="703"/>
      <c r="E47" s="703"/>
      <c r="F47" s="703"/>
      <c r="G47" s="703"/>
      <c r="H47" s="628"/>
      <c r="I47" s="629"/>
      <c r="J47" s="628"/>
      <c r="K47" s="629"/>
      <c r="L47" s="628"/>
      <c r="M47" s="629"/>
      <c r="N47" s="628"/>
      <c r="O47" s="629"/>
      <c r="P47" s="628"/>
      <c r="Q47" s="629"/>
      <c r="R47" s="667">
        <f>SUM(H47:Q47)</f>
        <v>0</v>
      </c>
      <c r="S47" s="668"/>
      <c r="T47" s="163"/>
    </row>
    <row r="48" spans="1:20" ht="13.5" thickBot="1" x14ac:dyDescent="0.25">
      <c r="E48" s="573" t="s">
        <v>31</v>
      </c>
      <c r="F48" s="573"/>
      <c r="G48" s="574"/>
      <c r="H48" s="670">
        <f>SUM(H34:I47)</f>
        <v>0</v>
      </c>
      <c r="I48" s="671"/>
      <c r="J48" s="670">
        <f>SUM(J34:K47)</f>
        <v>0</v>
      </c>
      <c r="K48" s="671"/>
      <c r="L48" s="670">
        <f>SUM(L34:M47)</f>
        <v>0</v>
      </c>
      <c r="M48" s="671"/>
      <c r="N48" s="670">
        <f>SUM(N34:O47)</f>
        <v>0</v>
      </c>
      <c r="O48" s="671"/>
      <c r="P48" s="670">
        <f>SUM(P34:Q47)</f>
        <v>0</v>
      </c>
      <c r="Q48" s="671"/>
      <c r="R48" s="670">
        <f>SUM(R34:S47)</f>
        <v>0</v>
      </c>
      <c r="S48" s="671"/>
    </row>
    <row r="50" spans="1:20" x14ac:dyDescent="0.2">
      <c r="B50" s="575" t="s">
        <v>32</v>
      </c>
      <c r="C50" s="575"/>
      <c r="D50" s="575"/>
      <c r="E50" s="575"/>
    </row>
    <row r="51" spans="1:20" ht="13.5" thickBot="1" x14ac:dyDescent="0.25">
      <c r="H51" s="637" t="s">
        <v>35</v>
      </c>
      <c r="I51" s="637"/>
      <c r="J51" s="637" t="s">
        <v>36</v>
      </c>
      <c r="K51" s="637"/>
      <c r="L51" s="637" t="s">
        <v>37</v>
      </c>
      <c r="M51" s="637"/>
      <c r="N51" s="637" t="s">
        <v>38</v>
      </c>
      <c r="O51" s="637"/>
      <c r="P51" s="637" t="s">
        <v>39</v>
      </c>
      <c r="Q51" s="637"/>
      <c r="R51" s="637" t="s">
        <v>40</v>
      </c>
      <c r="S51" s="637"/>
    </row>
    <row r="52" spans="1:20" ht="13.5" thickBot="1" x14ac:dyDescent="0.25">
      <c r="D52" s="665" t="s">
        <v>48</v>
      </c>
      <c r="E52" s="665"/>
      <c r="F52" s="665"/>
      <c r="G52" s="665"/>
      <c r="H52" s="643">
        <f>SUM('Personnel Yr 1'!N30,H15,H21,H29,H48)</f>
        <v>0</v>
      </c>
      <c r="I52" s="666"/>
      <c r="J52" s="643">
        <f>SUM('Personnel Yr 2'!N30,J15,J21,J29,J48)</f>
        <v>0</v>
      </c>
      <c r="K52" s="666"/>
      <c r="L52" s="643">
        <f>SUM('Personnel Yr 3'!N30,L15,L21,L29,L48)</f>
        <v>0</v>
      </c>
      <c r="M52" s="666"/>
      <c r="N52" s="643">
        <f>SUM('Personnel Yr 4'!N30,N15,N21,N29,N48)</f>
        <v>0</v>
      </c>
      <c r="O52" s="666"/>
      <c r="P52" s="643">
        <f>SUM('Personnel Yr 5'!N30,P15,P21,P29,P48)</f>
        <v>0</v>
      </c>
      <c r="Q52" s="666"/>
      <c r="R52" s="643">
        <f>SUM(H52:Q52)</f>
        <v>0</v>
      </c>
      <c r="S52" s="644"/>
    </row>
    <row r="53" spans="1:20" hidden="1" x14ac:dyDescent="0.2"/>
    <row r="54" spans="1:20" hidden="1" x14ac:dyDescent="0.2">
      <c r="B54" s="575" t="s">
        <v>117</v>
      </c>
      <c r="C54" s="575"/>
      <c r="D54" s="575"/>
      <c r="E54" s="575"/>
      <c r="F54" s="575"/>
      <c r="G54" s="575"/>
    </row>
    <row r="55" spans="1:20" hidden="1" x14ac:dyDescent="0.2">
      <c r="B55" s="12"/>
      <c r="C55" s="12"/>
      <c r="D55" s="575" t="s">
        <v>113</v>
      </c>
      <c r="E55" s="575"/>
      <c r="F55" s="575"/>
      <c r="G55" s="12"/>
    </row>
    <row r="56" spans="1:20" ht="26.25" hidden="1" thickBot="1" x14ac:dyDescent="0.25">
      <c r="A56" s="13" t="s">
        <v>50</v>
      </c>
      <c r="B56" s="202" t="s">
        <v>116</v>
      </c>
      <c r="C56" s="699" t="s">
        <v>114</v>
      </c>
      <c r="D56" s="699"/>
      <c r="E56" s="699"/>
      <c r="F56" s="637" t="s">
        <v>115</v>
      </c>
      <c r="G56" s="637"/>
      <c r="H56" s="637" t="s">
        <v>35</v>
      </c>
      <c r="I56" s="637"/>
      <c r="J56" s="637" t="s">
        <v>36</v>
      </c>
      <c r="K56" s="637"/>
      <c r="L56" s="637" t="s">
        <v>37</v>
      </c>
      <c r="M56" s="637"/>
      <c r="N56" s="637" t="s">
        <v>38</v>
      </c>
      <c r="O56" s="637"/>
      <c r="P56" s="637" t="s">
        <v>39</v>
      </c>
      <c r="Q56" s="637"/>
      <c r="R56" s="637" t="s">
        <v>40</v>
      </c>
      <c r="S56" s="637"/>
      <c r="T56" s="3" t="s">
        <v>253</v>
      </c>
    </row>
    <row r="57" spans="1:20" hidden="1" x14ac:dyDescent="0.2">
      <c r="A57" s="5">
        <v>1</v>
      </c>
      <c r="B57" s="248" t="s">
        <v>470</v>
      </c>
      <c r="C57" s="687">
        <v>0</v>
      </c>
      <c r="D57" s="688"/>
      <c r="E57" s="689"/>
      <c r="F57" s="680">
        <f>IF(B57="MTDC-NonFed",H52-H15-H42-H41-H40-H39-H38+H91,IF(B57="TDC",H52,IF(B57="SWFB",'Personnel Yr 1'!N30, IF(B57="MTDC-Fed",H52-H15-H42-H41-H40-H39-H38+H91-H29))))</f>
        <v>0</v>
      </c>
      <c r="G57" s="681"/>
      <c r="H57" s="682">
        <f>ROUND(F57*IFERROR(LOOKUP(C57,IDCDesc,IDCRate),C57),0)</f>
        <v>0</v>
      </c>
      <c r="I57" s="683"/>
      <c r="J57" s="674"/>
      <c r="K57" s="675"/>
      <c r="L57" s="674"/>
      <c r="M57" s="675"/>
      <c r="N57" s="674"/>
      <c r="O57" s="675"/>
      <c r="P57" s="674"/>
      <c r="Q57" s="675"/>
      <c r="R57" s="674"/>
      <c r="S57" s="675"/>
      <c r="T57" s="162"/>
    </row>
    <row r="58" spans="1:20" hidden="1" x14ac:dyDescent="0.2">
      <c r="A58" s="5">
        <v>2</v>
      </c>
      <c r="B58" s="240" t="str">
        <f>B57</f>
        <v>MTDC-NonFed</v>
      </c>
      <c r="C58" s="690">
        <v>0</v>
      </c>
      <c r="D58" s="691"/>
      <c r="E58" s="692"/>
      <c r="F58" s="684" t="str">
        <f>IF(J52=0,"",IF(B58="MTDC-NonFed",J52-J15-J42-J41-J40-J39-J38+J91,IF(B58="TDC",J52,IF(B58="SWFB",'Personnel Yr 2'!N30, IF(B58="MTDC-Fed",J52-J15-J42-J41-J40-J39-J38+J91-J29)))))</f>
        <v/>
      </c>
      <c r="G58" s="649"/>
      <c r="H58" s="685"/>
      <c r="I58" s="686"/>
      <c r="J58" s="648">
        <f>IF(F58="",0,ROUND(F58*IFERROR(LOOKUP(C58,IDCDesc2,IDCRate2),C58),0))</f>
        <v>0</v>
      </c>
      <c r="K58" s="649"/>
      <c r="L58" s="633"/>
      <c r="M58" s="634"/>
      <c r="N58" s="633"/>
      <c r="O58" s="634"/>
      <c r="P58" s="633"/>
      <c r="Q58" s="634"/>
      <c r="R58" s="633"/>
      <c r="S58" s="634"/>
      <c r="T58" s="20"/>
    </row>
    <row r="59" spans="1:20" hidden="1" x14ac:dyDescent="0.2">
      <c r="A59" s="5">
        <v>3</v>
      </c>
      <c r="B59" s="240" t="str">
        <f>B57</f>
        <v>MTDC-NonFed</v>
      </c>
      <c r="C59" s="690">
        <v>0</v>
      </c>
      <c r="D59" s="691"/>
      <c r="E59" s="692"/>
      <c r="F59" s="684" t="str">
        <f>IF(L52=0,"",IF(B59="MTDC-NonFed",L52-L15-L42-L41-L40-L39-L38+L91,IF(B59="TDC",L52,IF(B59="SWFB",'Personnel Yr 3'!N30, IF(B59="MTDC-Fed",L52-L15-L42-L41-L40-L39-L38+L91-L29)))))</f>
        <v/>
      </c>
      <c r="G59" s="649"/>
      <c r="H59" s="685"/>
      <c r="I59" s="686"/>
      <c r="J59" s="633"/>
      <c r="K59" s="634"/>
      <c r="L59" s="648">
        <f>IF(F59="",0,ROUND(F59*IFERROR(LOOKUP(C59,IDCDesc2,IDCRate2),C59),0))</f>
        <v>0</v>
      </c>
      <c r="M59" s="649"/>
      <c r="N59" s="633"/>
      <c r="O59" s="634"/>
      <c r="P59" s="633"/>
      <c r="Q59" s="634"/>
      <c r="R59" s="633"/>
      <c r="S59" s="634"/>
      <c r="T59" s="20"/>
    </row>
    <row r="60" spans="1:20" hidden="1" x14ac:dyDescent="0.2">
      <c r="A60" s="33">
        <v>4</v>
      </c>
      <c r="B60" s="240" t="str">
        <f>B57</f>
        <v>MTDC-NonFed</v>
      </c>
      <c r="C60" s="690">
        <v>0</v>
      </c>
      <c r="D60" s="691"/>
      <c r="E60" s="692"/>
      <c r="F60" s="684" t="str">
        <f>IF(N52=0,"",IF(B60="MTDC-NonFed",N52-N15-N42-N41-N40-N39-N38+N91,IF(B60="TDC",N52,IF(B60="SWFB",'Personnel Yr 4'!N30, IF(B60="MTDC-Fed",N52-N15-N42-N41-N40-N39-N38+N91-N29)))))</f>
        <v/>
      </c>
      <c r="G60" s="649"/>
      <c r="H60" s="685"/>
      <c r="I60" s="686"/>
      <c r="J60" s="633"/>
      <c r="K60" s="634"/>
      <c r="L60" s="633"/>
      <c r="M60" s="634"/>
      <c r="N60" s="729">
        <f>IF(F60="",0,ROUND(F60*IFERROR(LOOKUP(C60,IDCDesc2,IDCRate2),C60),0))</f>
        <v>0</v>
      </c>
      <c r="O60" s="730"/>
      <c r="P60" s="633"/>
      <c r="Q60" s="634"/>
      <c r="R60" s="633"/>
      <c r="S60" s="634"/>
      <c r="T60" s="20"/>
    </row>
    <row r="61" spans="1:20" ht="13.5" hidden="1" thickBot="1" x14ac:dyDescent="0.25">
      <c r="A61" s="5">
        <v>5</v>
      </c>
      <c r="B61" s="246" t="str">
        <f>B57</f>
        <v>MTDC-NonFed</v>
      </c>
      <c r="C61" s="696">
        <v>0</v>
      </c>
      <c r="D61" s="697"/>
      <c r="E61" s="698"/>
      <c r="F61" s="693" t="str">
        <f>IF(P52=0,"",IF(B61="MTDC-NonFed",P52-P15-P42-P41-P40-P39-P38+P91,IF(B61="TDC",P52,IF(B61="SWFB",'Personnel Yr 5'!N30, IF(B61="MTDC-Fed",P52-P15-P42-P41-P40-P39-P38+P91-P29)))))</f>
        <v/>
      </c>
      <c r="G61" s="694"/>
      <c r="H61" s="635"/>
      <c r="I61" s="695"/>
      <c r="J61" s="647"/>
      <c r="K61" s="636"/>
      <c r="L61" s="647"/>
      <c r="M61" s="636"/>
      <c r="N61" s="647"/>
      <c r="O61" s="636"/>
      <c r="P61" s="676">
        <f>IF(F61="",0,ROUND(F61*IFERROR(LOOKUP(C61,IDCDesc2,IDCRate2),C61),0))</f>
        <v>0</v>
      </c>
      <c r="Q61" s="677"/>
      <c r="R61" s="635"/>
      <c r="S61" s="636"/>
      <c r="T61" s="164"/>
    </row>
    <row r="62" spans="1:20" ht="13.5" hidden="1" thickBot="1" x14ac:dyDescent="0.25">
      <c r="F62" s="573" t="s">
        <v>33</v>
      </c>
      <c r="G62" s="573"/>
      <c r="H62" s="645">
        <f>SUM(H57:I61)</f>
        <v>0</v>
      </c>
      <c r="I62" s="646"/>
      <c r="J62" s="645">
        <f>SUM(J57:K61)</f>
        <v>0</v>
      </c>
      <c r="K62" s="646"/>
      <c r="L62" s="645">
        <f>SUM(L57:M61)</f>
        <v>0</v>
      </c>
      <c r="M62" s="646"/>
      <c r="N62" s="645">
        <f>SUM(N57:O61)</f>
        <v>0</v>
      </c>
      <c r="O62" s="646"/>
      <c r="P62" s="645">
        <f>SUM(P57:Q61)</f>
        <v>0</v>
      </c>
      <c r="Q62" s="646"/>
      <c r="R62" s="645">
        <f>SUM(H62:Q62)</f>
        <v>0</v>
      </c>
      <c r="S62" s="646"/>
    </row>
    <row r="63" spans="1:20" hidden="1" x14ac:dyDescent="0.2"/>
    <row r="64" spans="1:20" hidden="1" x14ac:dyDescent="0.2">
      <c r="B64" s="575" t="s">
        <v>118</v>
      </c>
      <c r="C64" s="575"/>
      <c r="D64" s="575"/>
      <c r="E64" s="575"/>
    </row>
    <row r="65" spans="1:20" ht="13.5" hidden="1" thickBot="1" x14ac:dyDescent="0.25">
      <c r="B65" s="12"/>
      <c r="C65" s="12"/>
      <c r="D65" s="12"/>
      <c r="E65" s="12"/>
      <c r="H65" s="637" t="s">
        <v>35</v>
      </c>
      <c r="I65" s="637"/>
      <c r="J65" s="637" t="s">
        <v>36</v>
      </c>
      <c r="K65" s="637"/>
      <c r="L65" s="637" t="s">
        <v>37</v>
      </c>
      <c r="M65" s="637"/>
      <c r="N65" s="637" t="s">
        <v>38</v>
      </c>
      <c r="O65" s="637"/>
      <c r="P65" s="637" t="s">
        <v>39</v>
      </c>
      <c r="Q65" s="637"/>
      <c r="R65" s="637" t="s">
        <v>40</v>
      </c>
      <c r="S65" s="637"/>
    </row>
    <row r="66" spans="1:20" ht="13.5" hidden="1" customHeight="1" thickBot="1" x14ac:dyDescent="0.25">
      <c r="C66" s="571" t="s">
        <v>119</v>
      </c>
      <c r="D66" s="571"/>
      <c r="E66" s="571"/>
      <c r="F66" s="571"/>
      <c r="G66" s="571"/>
      <c r="H66" s="643">
        <f>SUM(H52,H62)</f>
        <v>0</v>
      </c>
      <c r="I66" s="644"/>
      <c r="J66" s="643">
        <f>SUM(J52,J62)</f>
        <v>0</v>
      </c>
      <c r="K66" s="644"/>
      <c r="L66" s="643">
        <f>SUM(L52,L62)</f>
        <v>0</v>
      </c>
      <c r="M66" s="644"/>
      <c r="N66" s="643">
        <f>SUM(N52,N62)</f>
        <v>0</v>
      </c>
      <c r="O66" s="644"/>
      <c r="P66" s="643">
        <f>SUM(P52,P62)</f>
        <v>0</v>
      </c>
      <c r="Q66" s="644"/>
      <c r="R66" s="643">
        <f>SUM(H66:Q66)</f>
        <v>0</v>
      </c>
      <c r="S66" s="644"/>
    </row>
    <row r="67" spans="1:20" ht="13.5" hidden="1" customHeight="1" x14ac:dyDescent="0.2"/>
    <row r="68" spans="1:20" ht="25.5" hidden="1" x14ac:dyDescent="0.2">
      <c r="B68" s="637" t="s">
        <v>26</v>
      </c>
      <c r="C68" s="637"/>
      <c r="D68" s="637"/>
      <c r="E68" s="637"/>
      <c r="F68" s="637"/>
      <c r="G68" s="637"/>
      <c r="H68" s="637" t="s">
        <v>35</v>
      </c>
      <c r="I68" s="637"/>
      <c r="J68" s="637" t="s">
        <v>36</v>
      </c>
      <c r="K68" s="637"/>
      <c r="L68" s="637" t="s">
        <v>37</v>
      </c>
      <c r="M68" s="637"/>
      <c r="N68" s="637" t="s">
        <v>38</v>
      </c>
      <c r="O68" s="637"/>
      <c r="P68" s="637" t="s">
        <v>39</v>
      </c>
      <c r="Q68" s="637"/>
      <c r="R68" s="637" t="s">
        <v>40</v>
      </c>
      <c r="S68" s="637"/>
      <c r="T68" s="3" t="s">
        <v>253</v>
      </c>
    </row>
    <row r="69" spans="1:20" s="329" customFormat="1" ht="13.5" hidden="1" thickBot="1" x14ac:dyDescent="0.25">
      <c r="B69" s="330"/>
      <c r="C69" s="330"/>
      <c r="D69" s="330"/>
      <c r="E69" s="330"/>
      <c r="F69" s="330"/>
      <c r="G69" s="330"/>
      <c r="H69" s="405" t="s">
        <v>512</v>
      </c>
      <c r="I69" s="405"/>
      <c r="J69" s="331" t="s">
        <v>512</v>
      </c>
      <c r="K69" s="331"/>
      <c r="L69" s="331" t="s">
        <v>451</v>
      </c>
      <c r="M69" s="331" t="s">
        <v>452</v>
      </c>
      <c r="N69" s="331" t="s">
        <v>451</v>
      </c>
      <c r="O69" s="331" t="s">
        <v>452</v>
      </c>
      <c r="P69" s="331" t="s">
        <v>451</v>
      </c>
      <c r="Q69" s="331" t="s">
        <v>452</v>
      </c>
      <c r="R69" s="331" t="s">
        <v>512</v>
      </c>
      <c r="S69" s="331"/>
      <c r="T69" s="328"/>
    </row>
    <row r="70" spans="1:20" ht="13.5" hidden="1" customHeight="1" x14ac:dyDescent="0.2">
      <c r="A70" s="5">
        <v>1</v>
      </c>
      <c r="B70" s="753"/>
      <c r="C70" s="754"/>
      <c r="D70" s="754"/>
      <c r="E70" s="754"/>
      <c r="F70" s="754"/>
      <c r="G70" s="755"/>
      <c r="H70" s="419"/>
      <c r="I70" s="459"/>
      <c r="J70" s="276"/>
      <c r="K70" s="460"/>
      <c r="L70" s="276"/>
      <c r="M70" s="275"/>
      <c r="N70" s="276"/>
      <c r="O70" s="275"/>
      <c r="P70" s="276"/>
      <c r="Q70" s="275"/>
      <c r="R70" s="463">
        <f>SUM(P70,N70,L70,J70,H70)</f>
        <v>0</v>
      </c>
      <c r="S70" s="462"/>
      <c r="T70" s="162"/>
    </row>
    <row r="71" spans="1:20" ht="13.5" hidden="1" customHeight="1" x14ac:dyDescent="0.2">
      <c r="A71" s="5"/>
      <c r="B71" s="750"/>
      <c r="C71" s="751"/>
      <c r="D71" s="751"/>
      <c r="E71" s="751"/>
      <c r="F71" s="751"/>
      <c r="G71" s="752"/>
      <c r="H71" s="638">
        <f>IF(SUM(H70,I70)&gt;25000,25000,SUM(H70,I70))</f>
        <v>0</v>
      </c>
      <c r="I71" s="639">
        <f>IF(I70&gt;25000,25000,I70)</f>
        <v>0</v>
      </c>
      <c r="J71" s="640">
        <f>IF(SUM(H70:K70)&gt;=25000,IF(SUM(H70,I70)&gt;=25000, 0, 25000-SUM(H70,I70)),SUM(J70,K70))</f>
        <v>0</v>
      </c>
      <c r="K71" s="642">
        <f>IF(SUM(J70:K70)&gt;=25000,IF(SUM(J70)&gt;=25000, 0, 25000-SUM(J70)),K70)</f>
        <v>0</v>
      </c>
      <c r="L71" s="640">
        <f>IF(SUM(H70:M70)&gt;=25000,IF(SUM(H70:K70)&gt;=25000, 0, 25000-SUM(H70:K70)),SUM(L70,M70))</f>
        <v>0</v>
      </c>
      <c r="M71" s="641">
        <f>IF(SUM(K70:M70)&gt;=25000,IF(SUM(K70:L70)&gt;=25000, 0, 25000-SUM(K70:L70)),M70)</f>
        <v>0</v>
      </c>
      <c r="N71" s="640">
        <f>IF(SUM(H70:O70)&gt;=25000,IF(SUM(H70:M70)&gt;=25000, 0, 25000-SUM(H70:M70)),SUM(N70,O70))</f>
        <v>0</v>
      </c>
      <c r="O71" s="641">
        <f>IF(SUM(L70:O70)&gt;=25000,IF(SUM(L70:N70)&gt;=25000, 0, 25000-SUM(L70:N70)),O70)</f>
        <v>0</v>
      </c>
      <c r="P71" s="640">
        <f>IF(SUM(H70:Q70)&gt;=25000,IF(SUM(H70:O70)&gt;=25000, 0, 25000-SUM(H70:O70)),SUM(P70,Q70))</f>
        <v>0</v>
      </c>
      <c r="Q71" s="641">
        <f>IF(SUM(M70:Q70)&gt;=25000,IF(SUM(M70:P70)&gt;=25000, 0, 25000-SUM(M70:P70)),Q70)</f>
        <v>0</v>
      </c>
      <c r="R71" s="736">
        <f t="shared" ref="R71" si="4">SUM(H71:Q71)</f>
        <v>0</v>
      </c>
      <c r="S71" s="737"/>
      <c r="T71" s="20"/>
    </row>
    <row r="72" spans="1:20" ht="13.5" hidden="1" customHeight="1" x14ac:dyDescent="0.2">
      <c r="A72" s="5">
        <v>2</v>
      </c>
      <c r="B72" s="742"/>
      <c r="C72" s="743"/>
      <c r="D72" s="743"/>
      <c r="E72" s="743"/>
      <c r="F72" s="743"/>
      <c r="G72" s="744"/>
      <c r="H72" s="424"/>
      <c r="I72" s="460"/>
      <c r="J72" s="278"/>
      <c r="K72" s="460"/>
      <c r="L72" s="278"/>
      <c r="M72" s="277"/>
      <c r="N72" s="278"/>
      <c r="O72" s="277"/>
      <c r="P72" s="278"/>
      <c r="Q72" s="277"/>
      <c r="R72" s="465">
        <f>SUM(P72,N72,L72,J72,H72)</f>
        <v>0</v>
      </c>
      <c r="S72" s="462"/>
      <c r="T72" s="20"/>
    </row>
    <row r="73" spans="1:20" ht="13.5" hidden="1" customHeight="1" x14ac:dyDescent="0.2">
      <c r="A73" s="5"/>
      <c r="B73" s="739"/>
      <c r="C73" s="740"/>
      <c r="D73" s="740"/>
      <c r="E73" s="740"/>
      <c r="F73" s="740"/>
      <c r="G73" s="741"/>
      <c r="H73" s="663">
        <f>IF(SUM(H72,I72)&gt;25000,25000,SUM(H72,I72))</f>
        <v>0</v>
      </c>
      <c r="I73" s="757">
        <f>IF(I72&gt;25000,25000,I72)</f>
        <v>0</v>
      </c>
      <c r="J73" s="660">
        <f>IF(SUM(H72:K72)&gt;=25000,IF(SUM(H72,I72)&gt;=25000, 0, 25000-SUM(H72,I72)),SUM(J72,K72))</f>
        <v>0</v>
      </c>
      <c r="K73" s="749">
        <f>IF(SUM(J72:K72)&gt;=25000,IF(SUM(J72)&gt;=25000, 0, 25000-SUM(J72)),K72)</f>
        <v>0</v>
      </c>
      <c r="L73" s="660">
        <f>IF(SUM(H72:M72)&gt;=25000,IF(SUM(H72:K72)&gt;=25000, 0, 25000-SUM(H72:K72)),SUM(L72,M72))</f>
        <v>0</v>
      </c>
      <c r="M73" s="662">
        <f>IF(SUM(K72:M72)&gt;=25000,IF(SUM(K72:L72)&gt;=25000, 0, 25000-SUM(K72:L72)),M72)</f>
        <v>0</v>
      </c>
      <c r="N73" s="660">
        <f>IF(SUM(H72:O72)&gt;=25000,IF(SUM(H72:M72)&gt;=25000, 0, 25000-SUM(H72:M72)),SUM(N72,O72))</f>
        <v>0</v>
      </c>
      <c r="O73" s="662">
        <f>IF(SUM(L72:O72)&gt;=25000,IF(SUM(L72:N72)&gt;=25000, 0, 25000-SUM(L72:N72)),O72)</f>
        <v>0</v>
      </c>
      <c r="P73" s="660">
        <f>IF(SUM(H72:Q72)&gt;=25000,IF(SUM(H72:O72)&gt;=25000, 0, 25000-SUM(H72:O72)),SUM(P72,Q72))</f>
        <v>0</v>
      </c>
      <c r="Q73" s="662">
        <f>IF(SUM(M72:Q72)&gt;=25000,IF(SUM(M72:P72)&gt;=25000, 0, 25000-SUM(M72:P72)),Q72)</f>
        <v>0</v>
      </c>
      <c r="R73" s="734">
        <f t="shared" ref="R73:R89" si="5">SUM(H73:Q73)</f>
        <v>0</v>
      </c>
      <c r="S73" s="735"/>
      <c r="T73" s="20"/>
    </row>
    <row r="74" spans="1:20" ht="13.5" hidden="1" customHeight="1" thickBot="1" x14ac:dyDescent="0.25">
      <c r="A74" s="5">
        <v>3</v>
      </c>
      <c r="B74" s="742"/>
      <c r="C74" s="743"/>
      <c r="D74" s="743"/>
      <c r="E74" s="743"/>
      <c r="F74" s="743"/>
      <c r="G74" s="744"/>
      <c r="H74" s="420"/>
      <c r="I74" s="460"/>
      <c r="J74" s="278"/>
      <c r="K74" s="460"/>
      <c r="L74" s="278"/>
      <c r="M74" s="277"/>
      <c r="N74" s="278"/>
      <c r="O74" s="277"/>
      <c r="P74" s="278"/>
      <c r="Q74" s="277"/>
      <c r="R74" s="465">
        <f>SUM(P74,N74,L74,J74,H74)</f>
        <v>0</v>
      </c>
      <c r="S74" s="462"/>
      <c r="T74" s="20"/>
    </row>
    <row r="75" spans="1:20" ht="10.5" hidden="1" customHeight="1" thickBot="1" x14ac:dyDescent="0.25">
      <c r="A75" s="5"/>
      <c r="B75" s="739"/>
      <c r="C75" s="740"/>
      <c r="D75" s="740"/>
      <c r="E75" s="740"/>
      <c r="F75" s="740"/>
      <c r="G75" s="741"/>
      <c r="H75" s="663">
        <f>IF(SUM(H74,I74)&gt;25000,25000,SUM(H74,I74))</f>
        <v>0</v>
      </c>
      <c r="I75" s="756">
        <f>IF(I74&gt;25000,25000,I74)</f>
        <v>0</v>
      </c>
      <c r="J75" s="660">
        <f>IF(SUM(H74:K74)&gt;=25000,IF(SUM(H74,I74)&gt;=25000, 0, 25000-SUM(H74,I74)),SUM(J74,K74))</f>
        <v>0</v>
      </c>
      <c r="K75" s="661">
        <f>IF(SUM(J74:K74)&gt;=25000,IF(SUM(J74)&gt;=25000, 0, 25000-SUM(J74)),K74)</f>
        <v>0</v>
      </c>
      <c r="L75" s="660">
        <f>IF(SUM(H74:M74)&gt;=25000,IF(SUM(H74:K74)&gt;=25000, 0, 25000-SUM(H74:K74)),SUM(L74,M74))</f>
        <v>0</v>
      </c>
      <c r="M75" s="662">
        <f>IF(SUM(K74:M74)&gt;=25000,IF(SUM(K74:L74)&gt;=25000, 0, 25000-SUM(K74:L74)),M74)</f>
        <v>0</v>
      </c>
      <c r="N75" s="660">
        <f>IF(SUM(H74:O74)&gt;=25000,IF(SUM(H74:M74)&gt;=25000, 0, 25000-SUM(H74:M74)),SUM(N74,O74))</f>
        <v>0</v>
      </c>
      <c r="O75" s="662">
        <f>IF(SUM(L74:O74)&gt;=25000,IF(SUM(L74:N74)&gt;=25000, 0, 25000-SUM(L74:N74)),O74)</f>
        <v>0</v>
      </c>
      <c r="P75" s="660">
        <f>IF(SUM(H74:Q74)&gt;=25000,IF(SUM(H74:O74)&gt;=25000, 0, 25000-SUM(H74:O74)),SUM(P74,Q74))</f>
        <v>0</v>
      </c>
      <c r="Q75" s="662">
        <f>IF(SUM(M74:Q74)&gt;=25000,IF(SUM(M74:P74)&gt;=25000, 0, 25000-SUM(M74:P74)),Q74)</f>
        <v>0</v>
      </c>
      <c r="R75" s="654">
        <f t="shared" si="5"/>
        <v>0</v>
      </c>
      <c r="S75" s="738"/>
      <c r="T75" s="20"/>
    </row>
    <row r="76" spans="1:20" ht="10.5" hidden="1" customHeight="1" x14ac:dyDescent="0.2">
      <c r="A76" s="5">
        <v>4</v>
      </c>
      <c r="B76" s="742"/>
      <c r="C76" s="743"/>
      <c r="D76" s="743"/>
      <c r="E76" s="743"/>
      <c r="F76" s="743"/>
      <c r="G76" s="744"/>
      <c r="H76" s="420"/>
      <c r="I76" s="421"/>
      <c r="J76" s="278"/>
      <c r="K76" s="277"/>
      <c r="L76" s="278"/>
      <c r="M76" s="277"/>
      <c r="N76" s="278"/>
      <c r="O76" s="277"/>
      <c r="P76" s="278"/>
      <c r="Q76" s="277"/>
      <c r="R76" s="282">
        <f>SUM(P76,N76,L76,J76,H76)</f>
        <v>0</v>
      </c>
      <c r="S76" s="283">
        <f>SUM(Q76,O76,M76,K76,I76)</f>
        <v>0</v>
      </c>
      <c r="T76" s="20"/>
    </row>
    <row r="77" spans="1:20" ht="10.5" hidden="1" customHeight="1" thickBot="1" x14ac:dyDescent="0.25">
      <c r="A77" s="5"/>
      <c r="B77" s="739"/>
      <c r="C77" s="740"/>
      <c r="D77" s="740"/>
      <c r="E77" s="740"/>
      <c r="F77" s="740"/>
      <c r="G77" s="741"/>
      <c r="H77" s="663">
        <f>IF(SUM(H76,I76)&gt;25000,25000,SUM(H76,I76))</f>
        <v>0</v>
      </c>
      <c r="I77" s="664">
        <f>IF(I76&gt;25000,25000,I76)</f>
        <v>0</v>
      </c>
      <c r="J77" s="660">
        <f>IF(SUM(H76:K76)&gt;=25000,IF(SUM(H76,I76)&gt;=25000, 0, 25000-SUM(H76,I76)),SUM(J76,K76))</f>
        <v>0</v>
      </c>
      <c r="K77" s="662">
        <f>IF(SUM(J76:K76)&gt;=25000,IF(SUM(J76)&gt;=25000, 0, 25000-SUM(J76)),K76)</f>
        <v>0</v>
      </c>
      <c r="L77" s="660">
        <f>IF(SUM(H76:M76)&gt;=25000,IF(SUM(H76:K76)&gt;=25000, 0, 25000-SUM(H76:K76)),SUM(L76,M76))</f>
        <v>0</v>
      </c>
      <c r="M77" s="662">
        <f>IF(SUM(K76:M76)&gt;=25000,IF(SUM(K76:L76)&gt;=25000, 0, 25000-SUM(K76:L76)),M76)</f>
        <v>0</v>
      </c>
      <c r="N77" s="660">
        <f>IF(SUM(H76:O76)&gt;=25000,IF(SUM(H76:M76)&gt;=25000, 0, 25000-SUM(H76:M76)),SUM(N76,O76))</f>
        <v>0</v>
      </c>
      <c r="O77" s="662">
        <f>IF(SUM(L76:O76)&gt;=25000,IF(SUM(L76:N76)&gt;=25000, 0, 25000-SUM(L76:N76)),O76)</f>
        <v>0</v>
      </c>
      <c r="P77" s="660">
        <f>IF(SUM(H76:Q76)&gt;=25000,IF(SUM(H76:O76)&gt;=25000, 0, 25000-SUM(H76:O76)),SUM(P76,Q76))</f>
        <v>0</v>
      </c>
      <c r="Q77" s="662">
        <f>IF(SUM(M76:Q76)&gt;=25000,IF(SUM(M76:P76)&gt;=25000, 0, 25000-SUM(M76:P76)),Q76)</f>
        <v>0</v>
      </c>
      <c r="R77" s="654">
        <f t="shared" si="5"/>
        <v>0</v>
      </c>
      <c r="S77" s="655"/>
      <c r="T77" s="20"/>
    </row>
    <row r="78" spans="1:20" ht="10.5" hidden="1" customHeight="1" x14ac:dyDescent="0.2">
      <c r="A78" s="5">
        <v>5</v>
      </c>
      <c r="B78" s="742"/>
      <c r="C78" s="743"/>
      <c r="D78" s="743"/>
      <c r="E78" s="743"/>
      <c r="F78" s="743"/>
      <c r="G78" s="744"/>
      <c r="H78" s="420"/>
      <c r="I78" s="421"/>
      <c r="J78" s="278"/>
      <c r="K78" s="277"/>
      <c r="L78" s="278"/>
      <c r="M78" s="277"/>
      <c r="N78" s="278"/>
      <c r="O78" s="277"/>
      <c r="P78" s="278"/>
      <c r="Q78" s="277"/>
      <c r="R78" s="282">
        <f>SUM(P78,N78,L78,J78,H78)</f>
        <v>0</v>
      </c>
      <c r="S78" s="283">
        <f>SUM(Q78,O78,M78,K78,I78)</f>
        <v>0</v>
      </c>
      <c r="T78" s="20"/>
    </row>
    <row r="79" spans="1:20" ht="10.5" hidden="1" customHeight="1" thickBot="1" x14ac:dyDescent="0.25">
      <c r="A79" s="5"/>
      <c r="B79" s="739"/>
      <c r="C79" s="740"/>
      <c r="D79" s="740"/>
      <c r="E79" s="740"/>
      <c r="F79" s="740"/>
      <c r="G79" s="741"/>
      <c r="H79" s="663">
        <f>IF(SUM(H78,I78)&gt;25000,25000,SUM(H78,I78))</f>
        <v>0</v>
      </c>
      <c r="I79" s="664">
        <f>IF(I78&gt;25000,25000,I78)</f>
        <v>0</v>
      </c>
      <c r="J79" s="660">
        <f>IF(SUM(H78:K78)&gt;=25000,IF(SUM(H78,I78)&gt;=25000, 0, 25000-SUM(H78,I78)),SUM(J78,K78))</f>
        <v>0</v>
      </c>
      <c r="K79" s="662">
        <f>IF(SUM(J78:K78)&gt;=25000,IF(SUM(J78)&gt;=25000, 0, 25000-SUM(J78)),K78)</f>
        <v>0</v>
      </c>
      <c r="L79" s="660">
        <f>IF(SUM(H78:M78)&gt;=25000,IF(SUM(H78:K78)&gt;=25000, 0, 25000-SUM(H78:K78)),SUM(L78,M78))</f>
        <v>0</v>
      </c>
      <c r="M79" s="662">
        <f>IF(SUM(K78:M78)&gt;=25000,IF(SUM(K78:L78)&gt;=25000, 0, 25000-SUM(K78:L78)),M78)</f>
        <v>0</v>
      </c>
      <c r="N79" s="660">
        <f>IF(SUM(H78:O78)&gt;=25000,IF(SUM(H78:M78)&gt;=25000, 0, 25000-SUM(H78:M78)),SUM(N78,O78))</f>
        <v>0</v>
      </c>
      <c r="O79" s="662">
        <f>IF(SUM(L78:O78)&gt;=25000,IF(SUM(L78:N78)&gt;=25000, 0, 25000-SUM(L78:N78)),O78)</f>
        <v>0</v>
      </c>
      <c r="P79" s="660">
        <f>IF(SUM(H78:Q78)&gt;=25000,IF(SUM(H78:O78)&gt;=25000, 0, 25000-SUM(H78:O78)),SUM(P78,Q78))</f>
        <v>0</v>
      </c>
      <c r="Q79" s="662">
        <f>IF(SUM(M78:Q78)&gt;=25000,IF(SUM(M78:P78)&gt;=25000, 0, 25000-SUM(M78:P78)),Q78)</f>
        <v>0</v>
      </c>
      <c r="R79" s="654">
        <f t="shared" si="5"/>
        <v>0</v>
      </c>
      <c r="S79" s="655"/>
      <c r="T79" s="20"/>
    </row>
    <row r="80" spans="1:20" ht="10.5" hidden="1" customHeight="1" x14ac:dyDescent="0.2">
      <c r="A80" s="5">
        <v>6</v>
      </c>
      <c r="B80" s="742"/>
      <c r="C80" s="743"/>
      <c r="D80" s="743"/>
      <c r="E80" s="743"/>
      <c r="F80" s="743"/>
      <c r="G80" s="744"/>
      <c r="H80" s="420"/>
      <c r="I80" s="421"/>
      <c r="J80" s="278"/>
      <c r="K80" s="277"/>
      <c r="L80" s="278"/>
      <c r="M80" s="277"/>
      <c r="N80" s="278"/>
      <c r="O80" s="277"/>
      <c r="P80" s="278"/>
      <c r="Q80" s="277"/>
      <c r="R80" s="282">
        <f>SUM(P80,N80,L80,J80,H80)</f>
        <v>0</v>
      </c>
      <c r="S80" s="283">
        <f>SUM(Q80,O80,M80,K80,I80)</f>
        <v>0</v>
      </c>
      <c r="T80" s="20"/>
    </row>
    <row r="81" spans="1:20" ht="10.5" hidden="1" customHeight="1" thickBot="1" x14ac:dyDescent="0.25">
      <c r="A81" s="5"/>
      <c r="B81" s="739"/>
      <c r="C81" s="740"/>
      <c r="D81" s="740"/>
      <c r="E81" s="740"/>
      <c r="F81" s="740"/>
      <c r="G81" s="741"/>
      <c r="H81" s="663">
        <f>IF(SUM(H80,I80)&gt;25000,25000,SUM(H80,I80))</f>
        <v>0</v>
      </c>
      <c r="I81" s="664">
        <f>IF(I80&gt;25000,25000,I80)</f>
        <v>0</v>
      </c>
      <c r="J81" s="660">
        <f>IF(SUM(H80:K80)&gt;=25000,IF(SUM(H80,I80)&gt;=25000, 0, 25000-SUM(H80,I80)),SUM(J80,K80))</f>
        <v>0</v>
      </c>
      <c r="K81" s="662">
        <f>IF(SUM(J80:K80)&gt;=25000,IF(SUM(J80)&gt;=25000, 0, 25000-SUM(J80)),K80)</f>
        <v>0</v>
      </c>
      <c r="L81" s="660">
        <f>IF(SUM(H80:M80)&gt;=25000,IF(SUM(H80:K80)&gt;=25000, 0, 25000-SUM(H80:K80)),SUM(L80,M80))</f>
        <v>0</v>
      </c>
      <c r="M81" s="662">
        <f>IF(SUM(K80:M80)&gt;=25000,IF(SUM(K80:L80)&gt;=25000, 0, 25000-SUM(K80:L80)),M80)</f>
        <v>0</v>
      </c>
      <c r="N81" s="660">
        <f>IF(SUM(H80:O80)&gt;=25000,IF(SUM(H80:M80)&gt;=25000, 0, 25000-SUM(H80:M80)),SUM(N80,O80))</f>
        <v>0</v>
      </c>
      <c r="O81" s="662">
        <f>IF(SUM(L80:O80)&gt;=25000,IF(SUM(L80:N80)&gt;=25000, 0, 25000-SUM(L80:N80)),O80)</f>
        <v>0</v>
      </c>
      <c r="P81" s="660">
        <f>IF(SUM(H80:Q80)&gt;=25000,IF(SUM(H80:O80)&gt;=25000, 0, 25000-SUM(H80:O80)),SUM(P80,Q80))</f>
        <v>0</v>
      </c>
      <c r="Q81" s="662">
        <f>IF(SUM(M80:Q80)&gt;=25000,IF(SUM(M80:P80)&gt;=25000, 0, 25000-SUM(M80:P80)),Q80)</f>
        <v>0</v>
      </c>
      <c r="R81" s="654">
        <f t="shared" si="5"/>
        <v>0</v>
      </c>
      <c r="S81" s="655"/>
      <c r="T81" s="20"/>
    </row>
    <row r="82" spans="1:20" ht="10.5" hidden="1" customHeight="1" x14ac:dyDescent="0.2">
      <c r="A82" s="5">
        <v>7</v>
      </c>
      <c r="B82" s="742"/>
      <c r="C82" s="743"/>
      <c r="D82" s="743"/>
      <c r="E82" s="743"/>
      <c r="F82" s="743"/>
      <c r="G82" s="744"/>
      <c r="H82" s="422"/>
      <c r="I82" s="423"/>
      <c r="J82" s="280"/>
      <c r="K82" s="279"/>
      <c r="L82" s="280"/>
      <c r="M82" s="279"/>
      <c r="N82" s="280"/>
      <c r="O82" s="279"/>
      <c r="P82" s="280"/>
      <c r="Q82" s="279"/>
      <c r="R82" s="282">
        <f>SUM(P82,N82,L82,J82,H82)</f>
        <v>0</v>
      </c>
      <c r="S82" s="283">
        <f>SUM(Q82,O82,M82,K82,I82)</f>
        <v>0</v>
      </c>
      <c r="T82" s="20"/>
    </row>
    <row r="83" spans="1:20" ht="10.5" hidden="1" customHeight="1" thickBot="1" x14ac:dyDescent="0.25">
      <c r="A83" s="5"/>
      <c r="B83" s="739"/>
      <c r="C83" s="740"/>
      <c r="D83" s="740"/>
      <c r="E83" s="740"/>
      <c r="F83" s="740"/>
      <c r="G83" s="741"/>
      <c r="H83" s="663">
        <f>IF(SUM(H82,I82)&gt;25000,25000,SUM(H82,I82))</f>
        <v>0</v>
      </c>
      <c r="I83" s="664">
        <f>IF(I82&gt;25000,25000,I82)</f>
        <v>0</v>
      </c>
      <c r="J83" s="660">
        <f>IF(SUM(H82:K82)&gt;=25000,IF(SUM(H82,I82)&gt;=25000, 0, 25000-SUM(H82,I82)),SUM(J82,K82))</f>
        <v>0</v>
      </c>
      <c r="K83" s="662">
        <f>IF(SUM(J82:K82)&gt;=25000,IF(SUM(J82)&gt;=25000, 0, 25000-SUM(J82)),K82)</f>
        <v>0</v>
      </c>
      <c r="L83" s="660">
        <f>IF(SUM(H82:M82)&gt;=25000,IF(SUM(H82:K82)&gt;=25000, 0, 25000-SUM(H82:K82)),SUM(L82,M82))</f>
        <v>0</v>
      </c>
      <c r="M83" s="662">
        <f>IF(SUM(K82:M82)&gt;=25000,IF(SUM(K82:L82)&gt;=25000, 0, 25000-SUM(K82:L82)),M82)</f>
        <v>0</v>
      </c>
      <c r="N83" s="660">
        <f>IF(SUM(H82:O82)&gt;=25000,IF(SUM(H82:M82)&gt;=25000, 0, 25000-SUM(H82:M82)),SUM(N82,O82))</f>
        <v>0</v>
      </c>
      <c r="O83" s="662">
        <f>IF(SUM(L82:O82)&gt;=25000,IF(SUM(L82:N82)&gt;=25000, 0, 25000-SUM(L82:N82)),O82)</f>
        <v>0</v>
      </c>
      <c r="P83" s="660">
        <f>IF(SUM(H82:Q82)&gt;=25000,IF(SUM(H82:O82)&gt;=25000, 0, 25000-SUM(H82:O82)),SUM(P82,Q82))</f>
        <v>0</v>
      </c>
      <c r="Q83" s="662">
        <f>IF(SUM(M82:Q82)&gt;=25000,IF(SUM(M82:P82)&gt;=25000, 0, 25000-SUM(M82:P82)),Q82)</f>
        <v>0</v>
      </c>
      <c r="R83" s="654">
        <f t="shared" si="5"/>
        <v>0</v>
      </c>
      <c r="S83" s="655"/>
      <c r="T83" s="20"/>
    </row>
    <row r="84" spans="1:20" ht="10.5" hidden="1" customHeight="1" x14ac:dyDescent="0.2">
      <c r="A84" s="5">
        <v>8</v>
      </c>
      <c r="B84" s="742"/>
      <c r="C84" s="743"/>
      <c r="D84" s="743"/>
      <c r="E84" s="743"/>
      <c r="F84" s="743"/>
      <c r="G84" s="744"/>
      <c r="H84" s="420"/>
      <c r="I84" s="421"/>
      <c r="J84" s="278"/>
      <c r="K84" s="277"/>
      <c r="L84" s="278"/>
      <c r="M84" s="277"/>
      <c r="N84" s="278"/>
      <c r="O84" s="277"/>
      <c r="P84" s="278"/>
      <c r="Q84" s="277"/>
      <c r="R84" s="282">
        <f>SUM(P84,N84,L84,J84,H84)</f>
        <v>0</v>
      </c>
      <c r="S84" s="283">
        <f>SUM(Q84,O84,M84,K84,I84)</f>
        <v>0</v>
      </c>
      <c r="T84" s="20"/>
    </row>
    <row r="85" spans="1:20" ht="10.5" hidden="1" customHeight="1" thickBot="1" x14ac:dyDescent="0.25">
      <c r="A85" s="5"/>
      <c r="B85" s="739"/>
      <c r="C85" s="740"/>
      <c r="D85" s="740"/>
      <c r="E85" s="740"/>
      <c r="F85" s="740"/>
      <c r="G85" s="741"/>
      <c r="H85" s="663">
        <f>IF(SUM(H84,I84)&gt;25000,25000,SUM(H84,I84))</f>
        <v>0</v>
      </c>
      <c r="I85" s="664">
        <f>IF(I84&gt;25000,25000,I84)</f>
        <v>0</v>
      </c>
      <c r="J85" s="660">
        <f>IF(SUM(H84:K84)&gt;=25000,IF(SUM(H84,I84)&gt;=25000, 0, 25000-SUM(H84,I84)),SUM(J84,K84))</f>
        <v>0</v>
      </c>
      <c r="K85" s="662">
        <f>IF(SUM(J84:K84)&gt;=25000,IF(SUM(J84)&gt;=25000, 0, 25000-SUM(J84)),K84)</f>
        <v>0</v>
      </c>
      <c r="L85" s="660">
        <f>IF(SUM(H84:M84)&gt;=25000,IF(SUM(H84:K84)&gt;=25000, 0, 25000-SUM(H84:K84)),SUM(L84,M84))</f>
        <v>0</v>
      </c>
      <c r="M85" s="662">
        <f>IF(SUM(K84:M84)&gt;=25000,IF(SUM(K84:L84)&gt;=25000, 0, 25000-SUM(K84:L84)),M84)</f>
        <v>0</v>
      </c>
      <c r="N85" s="660">
        <f>IF(SUM(H84:O84)&gt;=25000,IF(SUM(H84:M84)&gt;=25000, 0, 25000-SUM(H84:M84)),SUM(N84,O84))</f>
        <v>0</v>
      </c>
      <c r="O85" s="662">
        <f>IF(SUM(L84:O84)&gt;=25000,IF(SUM(L84:N84)&gt;=25000, 0, 25000-SUM(L84:N84)),O84)</f>
        <v>0</v>
      </c>
      <c r="P85" s="660">
        <f>IF(SUM(H84:Q84)&gt;=25000,IF(SUM(H84:O84)&gt;=25000, 0, 25000-SUM(H84:O84)),SUM(P84,Q84))</f>
        <v>0</v>
      </c>
      <c r="Q85" s="662">
        <f>IF(SUM(M84:Q84)&gt;=25000,IF(SUM(M84:P84)&gt;=25000, 0, 25000-SUM(M84:P84)),Q84)</f>
        <v>0</v>
      </c>
      <c r="R85" s="654">
        <f t="shared" si="5"/>
        <v>0</v>
      </c>
      <c r="S85" s="655"/>
      <c r="T85" s="20"/>
    </row>
    <row r="86" spans="1:20" ht="10.5" hidden="1" customHeight="1" x14ac:dyDescent="0.2">
      <c r="A86" s="5">
        <v>9</v>
      </c>
      <c r="B86" s="742"/>
      <c r="C86" s="743"/>
      <c r="D86" s="743"/>
      <c r="E86" s="743"/>
      <c r="F86" s="743"/>
      <c r="G86" s="744"/>
      <c r="H86" s="420"/>
      <c r="I86" s="421"/>
      <c r="J86" s="278"/>
      <c r="K86" s="277"/>
      <c r="L86" s="278"/>
      <c r="M86" s="277"/>
      <c r="N86" s="278"/>
      <c r="O86" s="277"/>
      <c r="P86" s="278"/>
      <c r="Q86" s="277"/>
      <c r="R86" s="282">
        <f>SUM(P86,N86,L86,J86,H86)</f>
        <v>0</v>
      </c>
      <c r="S86" s="283">
        <f>SUM(Q86,O86,M86,K86,I86)</f>
        <v>0</v>
      </c>
      <c r="T86" s="20"/>
    </row>
    <row r="87" spans="1:20" ht="10.5" hidden="1" customHeight="1" thickBot="1" x14ac:dyDescent="0.25">
      <c r="A87" s="5"/>
      <c r="B87" s="739"/>
      <c r="C87" s="740"/>
      <c r="D87" s="740"/>
      <c r="E87" s="740"/>
      <c r="F87" s="740"/>
      <c r="G87" s="741"/>
      <c r="H87" s="663">
        <f>IF(SUM(H86,I86)&gt;25000,25000,SUM(H86,I86))</f>
        <v>0</v>
      </c>
      <c r="I87" s="664">
        <f>IF(I86&gt;25000,25000,I86)</f>
        <v>0</v>
      </c>
      <c r="J87" s="660">
        <f>IF(SUM(H86:K86)&gt;=25000,IF(SUM(H86,I86)&gt;=25000, 0, 25000-SUM(H86,I86)),SUM(J86,K86))</f>
        <v>0</v>
      </c>
      <c r="K87" s="662">
        <f>IF(SUM(J86:K86)&gt;=25000,IF(SUM(J86)&gt;=25000, 0, 25000-SUM(J86)),K86)</f>
        <v>0</v>
      </c>
      <c r="L87" s="660">
        <f>IF(SUM(H86:M86)&gt;=25000,IF(SUM(H86:K86)&gt;=25000, 0, 25000-SUM(H86:K86)),SUM(L86,M86))</f>
        <v>0</v>
      </c>
      <c r="M87" s="662">
        <f>IF(SUM(K86:M86)&gt;=25000,IF(SUM(K86:L86)&gt;=25000, 0, 25000-SUM(K86:L86)),M86)</f>
        <v>0</v>
      </c>
      <c r="N87" s="660">
        <f>IF(SUM(H86:O86)&gt;=25000,IF(SUM(H86:M86)&gt;=25000, 0, 25000-SUM(H86:M86)),SUM(N86,O86))</f>
        <v>0</v>
      </c>
      <c r="O87" s="662">
        <f>IF(SUM(L86:O86)&gt;=25000,IF(SUM(L86:N86)&gt;=25000, 0, 25000-SUM(L86:N86)),O86)</f>
        <v>0</v>
      </c>
      <c r="P87" s="660">
        <f>IF(SUM(H86:Q86)&gt;=25000,IF(SUM(H86:O86)&gt;=25000, 0, 25000-SUM(H86:O86)),SUM(P86,Q86))</f>
        <v>0</v>
      </c>
      <c r="Q87" s="662">
        <f>IF(SUM(M86:Q86)&gt;=25000,IF(SUM(M86:P86)&gt;=25000, 0, 25000-SUM(M86:P86)),Q86)</f>
        <v>0</v>
      </c>
      <c r="R87" s="654">
        <f t="shared" si="5"/>
        <v>0</v>
      </c>
      <c r="S87" s="655"/>
      <c r="T87" s="20"/>
    </row>
    <row r="88" spans="1:20" ht="10.5" hidden="1" customHeight="1" thickBot="1" x14ac:dyDescent="0.25">
      <c r="A88" s="5">
        <v>10</v>
      </c>
      <c r="B88" s="742"/>
      <c r="C88" s="743"/>
      <c r="D88" s="743"/>
      <c r="E88" s="743"/>
      <c r="F88" s="743"/>
      <c r="G88" s="744"/>
      <c r="H88" s="420"/>
      <c r="I88" s="421"/>
      <c r="J88" s="278"/>
      <c r="K88" s="277"/>
      <c r="L88" s="278"/>
      <c r="M88" s="277"/>
      <c r="N88" s="278"/>
      <c r="O88" s="277"/>
      <c r="P88" s="278"/>
      <c r="Q88" s="277"/>
      <c r="R88" s="282">
        <f>SUM(P88,N88,L88,J88,H88)</f>
        <v>0</v>
      </c>
      <c r="S88" s="283">
        <f>SUM(Q88,O88,M88,K88,I88)</f>
        <v>0</v>
      </c>
      <c r="T88" s="164"/>
    </row>
    <row r="89" spans="1:20" ht="10.5" hidden="1" customHeight="1" thickBot="1" x14ac:dyDescent="0.25">
      <c r="B89" s="746"/>
      <c r="C89" s="747"/>
      <c r="D89" s="747"/>
      <c r="E89" s="747"/>
      <c r="F89" s="747"/>
      <c r="G89" s="748"/>
      <c r="H89" s="656">
        <f>IF(SUM(H88,I88)&gt;25000,25000,SUM(H88,I88))</f>
        <v>0</v>
      </c>
      <c r="I89" s="745">
        <f>IF(I88&gt;25000,25000,I88)</f>
        <v>0</v>
      </c>
      <c r="J89" s="656">
        <f>IF(SUM(H88:K88)&gt;=25000,IF(SUM(H88,I88)&gt;=25000, 0, 25000-SUM(H88,I88)),SUM(J88,K88))</f>
        <v>0</v>
      </c>
      <c r="K89" s="745">
        <f>IF(SUM(J88:K88)&gt;=25000,IF(SUM(J88)&gt;=25000, 0, 25000-SUM(J88)),K88)</f>
        <v>0</v>
      </c>
      <c r="L89" s="656">
        <f>IF(SUM(H88:M88)&gt;=25000,IF(SUM(H88:K88)&gt;=25000, 0, 25000-SUM(H88:K88)),SUM(L88,M88))</f>
        <v>0</v>
      </c>
      <c r="M89" s="657">
        <f>IF(SUM(K88:M88)&gt;=25000,IF(SUM(K88:L88)&gt;=25000, 0, 25000-SUM(K88:L88)),M88)</f>
        <v>0</v>
      </c>
      <c r="N89" s="656">
        <f>IF(SUM(H88:O88)&gt;=25000,IF(SUM(H88:M88)&gt;=25000, 0, 25000-SUM(H88:M88)),SUM(N88,O88))</f>
        <v>0</v>
      </c>
      <c r="O89" s="657">
        <f>IF(SUM(L88:O88)&gt;=25000,IF(SUM(L88:N88)&gt;=25000, 0, 25000-SUM(L88:N88)),O88)</f>
        <v>0</v>
      </c>
      <c r="P89" s="656">
        <f>IF(SUM(H88:Q88)&gt;=25000,IF(SUM(H88:O88)&gt;=25000, 0, 25000-SUM(H88:O88)),SUM(P88,Q88))</f>
        <v>0</v>
      </c>
      <c r="Q89" s="657">
        <f>IF(SUM(M88:Q88)&gt;=25000,IF(SUM(M88:P88)&gt;=25000, 0, 25000-SUM(M88:P88)),Q88)</f>
        <v>0</v>
      </c>
      <c r="R89" s="658">
        <f t="shared" si="5"/>
        <v>0</v>
      </c>
      <c r="S89" s="659"/>
    </row>
    <row r="90" spans="1:20" ht="12.75" hidden="1" customHeight="1" thickBot="1" x14ac:dyDescent="0.25">
      <c r="B90" s="34"/>
      <c r="C90" s="34"/>
      <c r="D90" s="34"/>
      <c r="E90" s="34"/>
      <c r="F90" s="34"/>
      <c r="G90" s="126"/>
      <c r="H90" s="281">
        <f t="shared" ref="H90:Q90" si="6">SUM(H70,H72,H74,H76,H78,H80,H82,H84,H86,H88)</f>
        <v>0</v>
      </c>
      <c r="I90" s="461"/>
      <c r="J90" s="464">
        <f t="shared" si="6"/>
        <v>0</v>
      </c>
      <c r="K90" s="462"/>
      <c r="L90" s="281">
        <f t="shared" si="6"/>
        <v>0</v>
      </c>
      <c r="M90" s="284">
        <f t="shared" si="6"/>
        <v>0</v>
      </c>
      <c r="N90" s="281">
        <f t="shared" si="6"/>
        <v>0</v>
      </c>
      <c r="O90" s="284">
        <f t="shared" si="6"/>
        <v>0</v>
      </c>
      <c r="P90" s="281">
        <f t="shared" si="6"/>
        <v>0</v>
      </c>
      <c r="Q90" s="284">
        <f t="shared" si="6"/>
        <v>0</v>
      </c>
      <c r="R90" s="464">
        <f>SUM(P90,N90,L90,J90,H90)</f>
        <v>0</v>
      </c>
      <c r="S90" s="462"/>
    </row>
    <row r="91" spans="1:20" ht="15" hidden="1" customHeight="1" thickBot="1" x14ac:dyDescent="0.25">
      <c r="H91" s="731">
        <f>SUM(H71,H73,H75,H77,H79,H81,H83,H85,H87,H89)</f>
        <v>0</v>
      </c>
      <c r="I91" s="733"/>
      <c r="J91" s="731">
        <f>SUM(J71,J73,J75,J77,J79,J81,J83,J85,J87,J89)</f>
        <v>0</v>
      </c>
      <c r="K91" s="732"/>
      <c r="L91" s="731">
        <f>SUM(L71,L73,L75,L77,L79,L81,L83,L85,L87,L89)</f>
        <v>0</v>
      </c>
      <c r="M91" s="733"/>
      <c r="N91" s="731">
        <f>SUM(N71,N73,N75,N77,N79,N81,N83,N85,N87,N89)</f>
        <v>0</v>
      </c>
      <c r="O91" s="733"/>
      <c r="P91" s="731">
        <f>SUM(P71,P73,P75,P77,P79,P81,P83,P85,P87,P89)</f>
        <v>0</v>
      </c>
      <c r="Q91" s="733"/>
      <c r="R91" s="731">
        <f>SUM(R71,R73,R75,R77,R79,R81,R83,R85,R87,R89)</f>
        <v>0</v>
      </c>
      <c r="S91" s="732"/>
    </row>
    <row r="92" spans="1:20" ht="12.75" hidden="1" customHeight="1" x14ac:dyDescent="0.2">
      <c r="S92" s="34"/>
    </row>
    <row r="93" spans="1:20" x14ac:dyDescent="0.2">
      <c r="H93" s="336">
        <f>IF(OR(ISBLANK('Personnel Yr 1'!$B$23),NOT(ISNUMBER('Personnel Yr 1'!$B$23))),1,'Personnel Yr 1'!$B$23)</f>
        <v>1</v>
      </c>
      <c r="I93" s="336"/>
      <c r="J93" s="336">
        <f>IF(OR(ISBLANK('Personnel Yr 2'!$B$23),NOT(ISNUMBER('Personnel Yr 2'!$B$23))),1,'Personnel Yr 2'!$B$23)</f>
        <v>1</v>
      </c>
      <c r="K93" s="336"/>
      <c r="L93" s="336">
        <f>IF(OR(ISBLANK('Personnel Yr 3'!$B$23),NOT(ISNUMBER('Personnel Yr 3'!$B$23))),1,'Personnel Yr 3'!$B$23)</f>
        <v>1</v>
      </c>
      <c r="M93" s="336"/>
      <c r="N93" s="336">
        <f>IF(OR(ISBLANK('Personnel Yr 4'!$B$23),NOT(ISNUMBER('Personnel Yr 4'!$B$23))),1,'Personnel Yr 4'!$B$23)</f>
        <v>1</v>
      </c>
      <c r="O93" s="336"/>
      <c r="P93" s="336">
        <f>IF(OR(ISBLANK('Personnel Yr 5'!$B$23),NOT(ISNUMBER('Personnel Yr 5'!$B$23))),1,'Personnel Yr 5'!$B$23)</f>
        <v>1</v>
      </c>
    </row>
  </sheetData>
  <sheetProtection algorithmName="SHA-512" hashValue="8pLG5GXpFsA5uCQV6MIBpW4kG9+klaHWPuSAj9eTtE+C4S72EGAuojy9/CKoEfNqybeZ0xXGFAVD39Y3uYtFQg==" saltValue="5w8XVSC/PSPE+CGFIN91Fw==" spinCount="100000" sheet="1" objects="1" scenarios="1"/>
  <mergeCells count="437">
    <mergeCell ref="B72:G72"/>
    <mergeCell ref="B71:G71"/>
    <mergeCell ref="B70:G70"/>
    <mergeCell ref="B78:G78"/>
    <mergeCell ref="H77:I77"/>
    <mergeCell ref="B77:G77"/>
    <mergeCell ref="B76:G76"/>
    <mergeCell ref="H75:I75"/>
    <mergeCell ref="B75:G75"/>
    <mergeCell ref="B74:G74"/>
    <mergeCell ref="H73:I73"/>
    <mergeCell ref="B73:G73"/>
    <mergeCell ref="B68:G68"/>
    <mergeCell ref="H91:I91"/>
    <mergeCell ref="B87:G87"/>
    <mergeCell ref="B85:G85"/>
    <mergeCell ref="B88:G88"/>
    <mergeCell ref="J89:K89"/>
    <mergeCell ref="B89:G89"/>
    <mergeCell ref="B86:G86"/>
    <mergeCell ref="H89:I89"/>
    <mergeCell ref="H87:I87"/>
    <mergeCell ref="H85:I85"/>
    <mergeCell ref="J87:K87"/>
    <mergeCell ref="J73:K73"/>
    <mergeCell ref="B84:G84"/>
    <mergeCell ref="J83:K83"/>
    <mergeCell ref="H83:I83"/>
    <mergeCell ref="B83:G83"/>
    <mergeCell ref="B82:G82"/>
    <mergeCell ref="J81:K81"/>
    <mergeCell ref="B81:G81"/>
    <mergeCell ref="B80:G80"/>
    <mergeCell ref="J79:K79"/>
    <mergeCell ref="H79:I79"/>
    <mergeCell ref="B79:G79"/>
    <mergeCell ref="R91:S91"/>
    <mergeCell ref="P91:Q91"/>
    <mergeCell ref="N91:O91"/>
    <mergeCell ref="L91:M91"/>
    <mergeCell ref="J91:K91"/>
    <mergeCell ref="L73:M73"/>
    <mergeCell ref="R73:S73"/>
    <mergeCell ref="R71:S71"/>
    <mergeCell ref="N71:O71"/>
    <mergeCell ref="P71:Q71"/>
    <mergeCell ref="P73:Q73"/>
    <mergeCell ref="N73:O73"/>
    <mergeCell ref="R81:S81"/>
    <mergeCell ref="R79:S79"/>
    <mergeCell ref="R77:S77"/>
    <mergeCell ref="R75:S75"/>
    <mergeCell ref="P81:Q81"/>
    <mergeCell ref="L87:M87"/>
    <mergeCell ref="P83:Q83"/>
    <mergeCell ref="L79:M79"/>
    <mergeCell ref="P85:Q85"/>
    <mergeCell ref="P87:Q87"/>
    <mergeCell ref="L77:M77"/>
    <mergeCell ref="P77:Q77"/>
    <mergeCell ref="N46:O46"/>
    <mergeCell ref="N47:O47"/>
    <mergeCell ref="N65:O65"/>
    <mergeCell ref="N66:O66"/>
    <mergeCell ref="N57:O57"/>
    <mergeCell ref="N58:O58"/>
    <mergeCell ref="N59:O59"/>
    <mergeCell ref="N61:O61"/>
    <mergeCell ref="N60:O60"/>
    <mergeCell ref="N48:O48"/>
    <mergeCell ref="N51:O51"/>
    <mergeCell ref="N52:O52"/>
    <mergeCell ref="N56:O56"/>
    <mergeCell ref="L61:M61"/>
    <mergeCell ref="L60:M60"/>
    <mergeCell ref="L56:M56"/>
    <mergeCell ref="L57:M57"/>
    <mergeCell ref="L58:M58"/>
    <mergeCell ref="L36:M36"/>
    <mergeCell ref="L46:M46"/>
    <mergeCell ref="L47:M47"/>
    <mergeCell ref="L37:M37"/>
    <mergeCell ref="L38:M38"/>
    <mergeCell ref="L39:M39"/>
    <mergeCell ref="L40:M40"/>
    <mergeCell ref="L41:M41"/>
    <mergeCell ref="L52:M52"/>
    <mergeCell ref="L44:M44"/>
    <mergeCell ref="B4:D4"/>
    <mergeCell ref="B6:G6"/>
    <mergeCell ref="B10:G10"/>
    <mergeCell ref="B9:G9"/>
    <mergeCell ref="B8:G8"/>
    <mergeCell ref="B7:G7"/>
    <mergeCell ref="B5:J5"/>
    <mergeCell ref="J6:K6"/>
    <mergeCell ref="J7:K7"/>
    <mergeCell ref="H6:I6"/>
    <mergeCell ref="F15:G15"/>
    <mergeCell ref="B14:G14"/>
    <mergeCell ref="B13:G13"/>
    <mergeCell ref="B12:G12"/>
    <mergeCell ref="B11:G11"/>
    <mergeCell ref="H14:I14"/>
    <mergeCell ref="B20:G20"/>
    <mergeCell ref="B19:G19"/>
    <mergeCell ref="H28:I28"/>
    <mergeCell ref="H27:I27"/>
    <mergeCell ref="H25:I25"/>
    <mergeCell ref="H26:I26"/>
    <mergeCell ref="B28:G28"/>
    <mergeCell ref="H24:I24"/>
    <mergeCell ref="B17:D17"/>
    <mergeCell ref="B23:E23"/>
    <mergeCell ref="H20:I20"/>
    <mergeCell ref="B27:G27"/>
    <mergeCell ref="B26:G26"/>
    <mergeCell ref="B25:G25"/>
    <mergeCell ref="H21:I21"/>
    <mergeCell ref="F21:G21"/>
    <mergeCell ref="L6:M6"/>
    <mergeCell ref="L7:M7"/>
    <mergeCell ref="L8:M8"/>
    <mergeCell ref="L9:M9"/>
    <mergeCell ref="J15:K15"/>
    <mergeCell ref="H18:I18"/>
    <mergeCell ref="H19:I19"/>
    <mergeCell ref="J8:K8"/>
    <mergeCell ref="J9:K9"/>
    <mergeCell ref="J10:K10"/>
    <mergeCell ref="J11:K11"/>
    <mergeCell ref="J12:K12"/>
    <mergeCell ref="J13:K13"/>
    <mergeCell ref="J14:K14"/>
    <mergeCell ref="H13:I13"/>
    <mergeCell ref="H15:I15"/>
    <mergeCell ref="H10:I10"/>
    <mergeCell ref="H9:I9"/>
    <mergeCell ref="H8:I8"/>
    <mergeCell ref="H7:I7"/>
    <mergeCell ref="H12:I12"/>
    <mergeCell ref="H11:I11"/>
    <mergeCell ref="L25:M25"/>
    <mergeCell ref="J21:K21"/>
    <mergeCell ref="L10:M10"/>
    <mergeCell ref="L11:M11"/>
    <mergeCell ref="L12:M12"/>
    <mergeCell ref="L13:M13"/>
    <mergeCell ref="L20:M20"/>
    <mergeCell ref="J18:K18"/>
    <mergeCell ref="J19:K19"/>
    <mergeCell ref="L21:M21"/>
    <mergeCell ref="J24:K24"/>
    <mergeCell ref="L24:M24"/>
    <mergeCell ref="L14:M14"/>
    <mergeCell ref="L15:M15"/>
    <mergeCell ref="L18:M18"/>
    <mergeCell ref="L19:M19"/>
    <mergeCell ref="J20:K20"/>
    <mergeCell ref="J25:K25"/>
    <mergeCell ref="N6:O6"/>
    <mergeCell ref="N7:O7"/>
    <mergeCell ref="N8:O8"/>
    <mergeCell ref="N9:O9"/>
    <mergeCell ref="N10:O10"/>
    <mergeCell ref="N11:O11"/>
    <mergeCell ref="N12:O12"/>
    <mergeCell ref="N19:O19"/>
    <mergeCell ref="N13:O13"/>
    <mergeCell ref="N18:O18"/>
    <mergeCell ref="R24:S24"/>
    <mergeCell ref="R25:S25"/>
    <mergeCell ref="R26:S26"/>
    <mergeCell ref="R27:S27"/>
    <mergeCell ref="P24:Q24"/>
    <mergeCell ref="N25:O25"/>
    <mergeCell ref="P25:Q25"/>
    <mergeCell ref="R13:S13"/>
    <mergeCell ref="P26:Q26"/>
    <mergeCell ref="N26:O26"/>
    <mergeCell ref="P20:Q20"/>
    <mergeCell ref="P21:Q21"/>
    <mergeCell ref="N21:O21"/>
    <mergeCell ref="N20:O20"/>
    <mergeCell ref="N14:O14"/>
    <mergeCell ref="N15:O15"/>
    <mergeCell ref="N24:O24"/>
    <mergeCell ref="P13:Q13"/>
    <mergeCell ref="N27:O27"/>
    <mergeCell ref="P27:Q27"/>
    <mergeCell ref="R6:S6"/>
    <mergeCell ref="R7:S7"/>
    <mergeCell ref="R8:S8"/>
    <mergeCell ref="R9:S9"/>
    <mergeCell ref="R21:S21"/>
    <mergeCell ref="R20:S20"/>
    <mergeCell ref="R10:S10"/>
    <mergeCell ref="R11:S11"/>
    <mergeCell ref="P14:Q14"/>
    <mergeCell ref="R15:S15"/>
    <mergeCell ref="R18:S18"/>
    <mergeCell ref="R19:S19"/>
    <mergeCell ref="P15:Q15"/>
    <mergeCell ref="P18:Q18"/>
    <mergeCell ref="R14:S14"/>
    <mergeCell ref="P6:Q6"/>
    <mergeCell ref="R12:S12"/>
    <mergeCell ref="P19:Q19"/>
    <mergeCell ref="P7:Q7"/>
    <mergeCell ref="P8:Q8"/>
    <mergeCell ref="P9:Q9"/>
    <mergeCell ref="P10:Q10"/>
    <mergeCell ref="P11:Q11"/>
    <mergeCell ref="P12:Q12"/>
    <mergeCell ref="L35:M35"/>
    <mergeCell ref="R28:S28"/>
    <mergeCell ref="B32:E32"/>
    <mergeCell ref="P28:Q28"/>
    <mergeCell ref="N28:O28"/>
    <mergeCell ref="L28:M28"/>
    <mergeCell ref="J28:K28"/>
    <mergeCell ref="P29:Q29"/>
    <mergeCell ref="N29:O29"/>
    <mergeCell ref="L29:M29"/>
    <mergeCell ref="R29:S29"/>
    <mergeCell ref="C29:E29"/>
    <mergeCell ref="F29:G29"/>
    <mergeCell ref="J29:K29"/>
    <mergeCell ref="H29:I29"/>
    <mergeCell ref="J33:K33"/>
    <mergeCell ref="J34:K34"/>
    <mergeCell ref="H34:I34"/>
    <mergeCell ref="J40:K40"/>
    <mergeCell ref="J46:K46"/>
    <mergeCell ref="P33:Q33"/>
    <mergeCell ref="P34:Q34"/>
    <mergeCell ref="J39:K39"/>
    <mergeCell ref="N40:O40"/>
    <mergeCell ref="H48:I48"/>
    <mergeCell ref="E48:G48"/>
    <mergeCell ref="L27:M27"/>
    <mergeCell ref="J41:K41"/>
    <mergeCell ref="H41:I41"/>
    <mergeCell ref="J38:K38"/>
    <mergeCell ref="H37:I37"/>
    <mergeCell ref="H38:I38"/>
    <mergeCell ref="H47:I47"/>
    <mergeCell ref="B44:G44"/>
    <mergeCell ref="H44:I44"/>
    <mergeCell ref="J44:K44"/>
    <mergeCell ref="L33:M33"/>
    <mergeCell ref="L34:M34"/>
    <mergeCell ref="J35:K35"/>
    <mergeCell ref="J36:K36"/>
    <mergeCell ref="H35:I35"/>
    <mergeCell ref="H33:I33"/>
    <mergeCell ref="J26:K26"/>
    <mergeCell ref="J27:K27"/>
    <mergeCell ref="L26:M26"/>
    <mergeCell ref="N33:O33"/>
    <mergeCell ref="N34:O34"/>
    <mergeCell ref="D55:F55"/>
    <mergeCell ref="J47:K47"/>
    <mergeCell ref="B47:G47"/>
    <mergeCell ref="J51:K51"/>
    <mergeCell ref="J52:K52"/>
    <mergeCell ref="H51:I51"/>
    <mergeCell ref="J48:K48"/>
    <mergeCell ref="B54:G54"/>
    <mergeCell ref="B50:E50"/>
    <mergeCell ref="N35:O35"/>
    <mergeCell ref="N36:O36"/>
    <mergeCell ref="N37:O37"/>
    <mergeCell ref="N38:O38"/>
    <mergeCell ref="N39:O39"/>
    <mergeCell ref="L48:M48"/>
    <mergeCell ref="L51:M51"/>
    <mergeCell ref="H46:I46"/>
    <mergeCell ref="H39:I39"/>
    <mergeCell ref="H40:I40"/>
    <mergeCell ref="H36:I36"/>
    <mergeCell ref="J37:K37"/>
    <mergeCell ref="C66:G66"/>
    <mergeCell ref="H66:I66"/>
    <mergeCell ref="J62:K62"/>
    <mergeCell ref="B64:E64"/>
    <mergeCell ref="J65:K65"/>
    <mergeCell ref="H65:I65"/>
    <mergeCell ref="F62:G62"/>
    <mergeCell ref="H62:I62"/>
    <mergeCell ref="J59:K59"/>
    <mergeCell ref="F61:G61"/>
    <mergeCell ref="H61:I61"/>
    <mergeCell ref="F59:G59"/>
    <mergeCell ref="H59:I59"/>
    <mergeCell ref="F60:G60"/>
    <mergeCell ref="H60:I60"/>
    <mergeCell ref="J60:K60"/>
    <mergeCell ref="J66:K66"/>
    <mergeCell ref="C59:E59"/>
    <mergeCell ref="C60:E60"/>
    <mergeCell ref="C61:E61"/>
    <mergeCell ref="C56:E56"/>
    <mergeCell ref="H56:I56"/>
    <mergeCell ref="J56:K56"/>
    <mergeCell ref="F57:G57"/>
    <mergeCell ref="H57:I57"/>
    <mergeCell ref="J57:K57"/>
    <mergeCell ref="F58:G58"/>
    <mergeCell ref="H58:I58"/>
    <mergeCell ref="C57:E57"/>
    <mergeCell ref="C58:E58"/>
    <mergeCell ref="J58:K58"/>
    <mergeCell ref="F56:G56"/>
    <mergeCell ref="R52:S52"/>
    <mergeCell ref="R56:S56"/>
    <mergeCell ref="P57:Q57"/>
    <mergeCell ref="P58:Q58"/>
    <mergeCell ref="P59:Q59"/>
    <mergeCell ref="P61:Q61"/>
    <mergeCell ref="R58:S58"/>
    <mergeCell ref="P36:Q36"/>
    <mergeCell ref="P46:Q46"/>
    <mergeCell ref="P47:Q47"/>
    <mergeCell ref="P37:Q37"/>
    <mergeCell ref="P38:Q38"/>
    <mergeCell ref="P39:Q39"/>
    <mergeCell ref="P40:Q40"/>
    <mergeCell ref="P41:Q41"/>
    <mergeCell ref="R36:S36"/>
    <mergeCell ref="R37:S37"/>
    <mergeCell ref="P48:Q48"/>
    <mergeCell ref="P51:Q51"/>
    <mergeCell ref="P52:Q52"/>
    <mergeCell ref="P56:Q56"/>
    <mergeCell ref="P60:Q60"/>
    <mergeCell ref="R57:S57"/>
    <mergeCell ref="R42:S42"/>
    <mergeCell ref="A1:S1"/>
    <mergeCell ref="A3:S3"/>
    <mergeCell ref="D52:G52"/>
    <mergeCell ref="H52:I52"/>
    <mergeCell ref="R40:S40"/>
    <mergeCell ref="R41:S41"/>
    <mergeCell ref="R46:S46"/>
    <mergeCell ref="R47:S47"/>
    <mergeCell ref="R33:S33"/>
    <mergeCell ref="B38:G38"/>
    <mergeCell ref="B39:G39"/>
    <mergeCell ref="B40:G40"/>
    <mergeCell ref="B46:G46"/>
    <mergeCell ref="B34:G34"/>
    <mergeCell ref="B35:G35"/>
    <mergeCell ref="B36:G36"/>
    <mergeCell ref="B37:G37"/>
    <mergeCell ref="R39:S39"/>
    <mergeCell ref="R35:S35"/>
    <mergeCell ref="R48:S48"/>
    <mergeCell ref="R51:S51"/>
    <mergeCell ref="R38:S38"/>
    <mergeCell ref="P35:Q35"/>
    <mergeCell ref="R34:S34"/>
    <mergeCell ref="R83:S83"/>
    <mergeCell ref="P89:Q89"/>
    <mergeCell ref="N89:O89"/>
    <mergeCell ref="L89:M89"/>
    <mergeCell ref="R85:S85"/>
    <mergeCell ref="R89:S89"/>
    <mergeCell ref="J75:K75"/>
    <mergeCell ref="J77:K77"/>
    <mergeCell ref="H81:I81"/>
    <mergeCell ref="J85:K85"/>
    <mergeCell ref="P79:Q79"/>
    <mergeCell ref="R87:S87"/>
    <mergeCell ref="N87:O87"/>
    <mergeCell ref="N75:O75"/>
    <mergeCell ref="P75:Q75"/>
    <mergeCell ref="N77:O77"/>
    <mergeCell ref="L75:M75"/>
    <mergeCell ref="N79:O79"/>
    <mergeCell ref="N81:O81"/>
    <mergeCell ref="N83:O83"/>
    <mergeCell ref="N85:O85"/>
    <mergeCell ref="L83:M83"/>
    <mergeCell ref="L81:M81"/>
    <mergeCell ref="L85:M85"/>
    <mergeCell ref="N44:O44"/>
    <mergeCell ref="P44:Q44"/>
    <mergeCell ref="R44:S44"/>
    <mergeCell ref="B45:G45"/>
    <mergeCell ref="H45:I45"/>
    <mergeCell ref="J45:K45"/>
    <mergeCell ref="L45:M45"/>
    <mergeCell ref="N45:O45"/>
    <mergeCell ref="P45:Q45"/>
    <mergeCell ref="R45:S45"/>
    <mergeCell ref="R59:S59"/>
    <mergeCell ref="R61:S61"/>
    <mergeCell ref="R60:S60"/>
    <mergeCell ref="J68:K68"/>
    <mergeCell ref="H68:I68"/>
    <mergeCell ref="H71:I71"/>
    <mergeCell ref="L71:M71"/>
    <mergeCell ref="J71:K71"/>
    <mergeCell ref="P66:Q66"/>
    <mergeCell ref="R66:S66"/>
    <mergeCell ref="R65:S65"/>
    <mergeCell ref="R62:S62"/>
    <mergeCell ref="P65:Q65"/>
    <mergeCell ref="N62:O62"/>
    <mergeCell ref="L66:M66"/>
    <mergeCell ref="L62:M62"/>
    <mergeCell ref="L65:M65"/>
    <mergeCell ref="R68:S68"/>
    <mergeCell ref="P68:Q68"/>
    <mergeCell ref="N68:O68"/>
    <mergeCell ref="L68:M68"/>
    <mergeCell ref="P62:Q62"/>
    <mergeCell ref="J61:K61"/>
    <mergeCell ref="L59:M59"/>
    <mergeCell ref="R43:S43"/>
    <mergeCell ref="B41:C41"/>
    <mergeCell ref="B42:G42"/>
    <mergeCell ref="B43:G43"/>
    <mergeCell ref="H42:I42"/>
    <mergeCell ref="J42:K42"/>
    <mergeCell ref="L42:M42"/>
    <mergeCell ref="N42:O42"/>
    <mergeCell ref="P42:Q42"/>
    <mergeCell ref="H43:I43"/>
    <mergeCell ref="J43:K43"/>
    <mergeCell ref="L43:M43"/>
    <mergeCell ref="N43:O43"/>
    <mergeCell ref="P43:Q43"/>
    <mergeCell ref="N41:O41"/>
    <mergeCell ref="D41:E41"/>
    <mergeCell ref="F41:G41"/>
  </mergeCells>
  <phoneticPr fontId="5" type="noConversion"/>
  <conditionalFormatting sqref="F41">
    <cfRule type="cellIs" dxfId="5" priority="6" stopIfTrue="1" operator="equal">
      <formula>""</formula>
    </cfRule>
  </conditionalFormatting>
  <dataValidations count="3">
    <dataValidation type="list" allowBlank="1" showInputMessage="1" showErrorMessage="1" sqref="F41" xr:uid="{00000000-0002-0000-0600-000000000000}">
      <formula1>TuitionDesc</formula1>
    </dataValidation>
    <dataValidation type="list" allowBlank="1" showInputMessage="1" showErrorMessage="1" sqref="B57" xr:uid="{00000000-0002-0000-0600-000001000000}">
      <formula1>IDCType</formula1>
    </dataValidation>
    <dataValidation type="list" errorStyle="warning" allowBlank="1" showInputMessage="1" showErrorMessage="1" errorTitle="Approved Rates" error="This is not one of the Approved Rates." sqref="C57:E61" xr:uid="{00000000-0002-0000-0600-000002000000}">
      <formula1>IDCList2</formula1>
    </dataValidation>
  </dataValidations>
  <pageMargins left="0.25" right="0.25" top="0.5" bottom="0.25" header="0.3" footer="0.3"/>
  <pageSetup scale="91" orientation="portrait" r:id="rId1"/>
  <headerFooter alignWithMargins="0">
    <oddFooter>&amp;RPrinted On: &amp;D &amp;T</oddFooter>
  </headerFooter>
  <rowBreaks count="1" manualBreakCount="1">
    <brk id="90" max="18" man="1"/>
  </rowBreaks>
  <extLst>
    <ext xmlns:x14="http://schemas.microsoft.com/office/spreadsheetml/2009/9/main" uri="{CCE6A557-97BC-4b89-ADB6-D9C93CAAB3DF}">
      <x14:dataValidations xmlns:xm="http://schemas.microsoft.com/office/excel/2006/main" count="5">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3000000}">
          <x14:formula1>
            <xm:f>OR(AND('Personnel Yr 1'!$N$5="Federal - NIH",SUM(H$41,'Personnel Yr 1'!$N$23)/H$93&lt;=NIHGradLimit),'Personnel Yr 1'!$N$5&lt;&gt;"Federal - NIH")</xm:f>
          </x14:formula1>
          <xm:sqref>H41:I41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4000000}">
          <x14:formula1>
            <xm:f>OR(AND('Personnel Yr 1'!$N$5="Federal - NIH",SUM(J$41,'Personnel Yr 2'!$N$23)/J$93&lt;=NIHGradLimit),'Personnel Yr 1'!$N$5&lt;&gt;"Federal - NIH")</xm:f>
          </x14:formula1>
          <xm:sqref>J41:K41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5000000}">
          <x14:formula1>
            <xm:f>OR(AND('Personnel Yr 1'!$N$5="Federal - NIH",SUM(L$41,'Personnel Yr 3'!$N$23)/L$93&lt;=NIHGradLimit),'Personnel Yr 1'!$N$5&lt;&gt;"Federal - NIH")</xm:f>
          </x14:formula1>
          <xm:sqref>L41:M41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6000000}">
          <x14:formula1>
            <xm:f>OR(AND('Personnel Yr 1'!$N$5="Federal - NIH",SUM(N$41,'Personnel Yr 4'!$N$23)/N$93&lt;=NIHGradLimit),'Personnel Yr 1'!$N$5&lt;&gt;"Federal - NIH")</xm:f>
          </x14:formula1>
          <xm:sqref>N41:O41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7000000}">
          <x14:formula1>
            <xm:f>OR(AND('Personnel Yr 1'!$N$5="Federal - NIH",SUM(P$41,'Personnel Yr 5'!$N$23)/P$93&lt;=NIHGradLimit),'Personnel Yr 1'!$N$5&lt;&gt;"Federal - NIH")</xm:f>
          </x14:formula1>
          <xm:sqref>P41:Q41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S32"/>
  <sheetViews>
    <sheetView workbookViewId="0">
      <selection sqref="A1:G1"/>
    </sheetView>
  </sheetViews>
  <sheetFormatPr defaultRowHeight="12.75" x14ac:dyDescent="0.2"/>
  <cols>
    <col min="1" max="5" width="10" customWidth="1"/>
    <col min="6" max="7" width="19.28515625" customWidth="1"/>
    <col min="8" max="9" width="10" customWidth="1"/>
  </cols>
  <sheetData>
    <row r="1" spans="1:19" ht="18" x14ac:dyDescent="0.25">
      <c r="A1" s="561" t="s">
        <v>77</v>
      </c>
      <c r="B1" s="561"/>
      <c r="C1" s="561"/>
      <c r="D1" s="561"/>
      <c r="E1" s="561"/>
      <c r="F1" s="561"/>
      <c r="G1" s="561"/>
      <c r="H1" s="35"/>
      <c r="I1" s="35"/>
      <c r="J1" s="35"/>
      <c r="K1" s="35"/>
      <c r="L1" s="35"/>
      <c r="M1" s="35"/>
      <c r="N1" s="35"/>
      <c r="O1" s="35"/>
      <c r="P1" s="35"/>
      <c r="Q1" s="35"/>
      <c r="R1" s="35"/>
      <c r="S1" s="35"/>
    </row>
    <row r="2" spans="1:19" x14ac:dyDescent="0.2">
      <c r="A2" s="1"/>
      <c r="B2" s="1"/>
      <c r="C2" s="1"/>
      <c r="D2" s="1"/>
      <c r="E2" s="1"/>
      <c r="F2" s="1"/>
      <c r="G2" s="1"/>
      <c r="H2" s="1"/>
      <c r="I2" s="1"/>
      <c r="J2" s="1"/>
      <c r="K2" s="1"/>
      <c r="L2" s="1"/>
      <c r="M2" s="1"/>
      <c r="N2" s="1"/>
      <c r="O2" s="31"/>
      <c r="P2" s="31"/>
      <c r="Q2" s="31"/>
      <c r="R2" s="31"/>
      <c r="S2" s="31"/>
    </row>
    <row r="3" spans="1:19" ht="18" x14ac:dyDescent="0.25">
      <c r="A3" s="561" t="s">
        <v>83</v>
      </c>
      <c r="B3" s="561"/>
      <c r="C3" s="561"/>
      <c r="D3" s="561"/>
      <c r="E3" s="561"/>
      <c r="F3" s="561"/>
      <c r="G3" s="561"/>
      <c r="H3" s="35"/>
      <c r="I3" s="35"/>
      <c r="J3" s="35"/>
      <c r="K3" s="35"/>
      <c r="L3" s="35"/>
      <c r="M3" s="35"/>
      <c r="N3" s="35"/>
      <c r="O3" s="35"/>
      <c r="P3" s="35"/>
      <c r="Q3" s="35"/>
      <c r="R3" s="35"/>
      <c r="S3" s="35"/>
    </row>
    <row r="4" spans="1:19" ht="13.5" thickBot="1" x14ac:dyDescent="0.25">
      <c r="F4" s="699" t="s">
        <v>84</v>
      </c>
      <c r="G4" s="699"/>
      <c r="H4" t="s">
        <v>120</v>
      </c>
      <c r="I4" t="s">
        <v>121</v>
      </c>
      <c r="J4" t="s">
        <v>122</v>
      </c>
      <c r="K4">
        <v>4</v>
      </c>
      <c r="L4">
        <v>5</v>
      </c>
    </row>
    <row r="5" spans="1:19" x14ac:dyDescent="0.2">
      <c r="A5" s="766" t="s">
        <v>85</v>
      </c>
      <c r="B5" s="767"/>
      <c r="C5" s="767"/>
      <c r="D5" s="767"/>
      <c r="E5" s="768"/>
      <c r="F5" s="58"/>
      <c r="G5" s="57">
        <f>SUM('Personnel Yr 1'!N16,'Personnel Yr 2'!N16,'Personnel Yr 3'!N16,'Personnel Yr 4'!N16,'Personnel Yr 5'!N16)</f>
        <v>0</v>
      </c>
      <c r="H5" s="139">
        <f>'Personnel Yr 1'!N16</f>
        <v>0</v>
      </c>
      <c r="I5" s="139">
        <f>'Personnel Yr 2'!N16</f>
        <v>0</v>
      </c>
      <c r="J5" s="139">
        <f>'Personnel Yr 3'!N16</f>
        <v>0</v>
      </c>
      <c r="K5" s="139">
        <f>'Personnel Yr 4'!N16</f>
        <v>0</v>
      </c>
      <c r="L5" s="139">
        <f>'Personnel Yr 5'!N16</f>
        <v>0</v>
      </c>
    </row>
    <row r="6" spans="1:19" x14ac:dyDescent="0.2">
      <c r="A6" s="763" t="s">
        <v>86</v>
      </c>
      <c r="B6" s="764"/>
      <c r="C6" s="764"/>
      <c r="D6" s="764"/>
      <c r="E6" s="765"/>
      <c r="F6" s="38"/>
      <c r="G6" s="37">
        <f>SUM('Personnel Yr 1'!N29,'Personnel Yr 2'!N29,'Personnel Yr 3'!N29,'Personnel Yr 4'!N29,'Personnel Yr 5'!N29)</f>
        <v>0</v>
      </c>
    </row>
    <row r="7" spans="1:19" x14ac:dyDescent="0.2">
      <c r="B7" s="760" t="s">
        <v>11</v>
      </c>
      <c r="C7" s="761"/>
      <c r="D7" s="761"/>
      <c r="E7" s="762"/>
      <c r="F7" s="59">
        <f>SUM('Personnel Yr 5'!B29,'Personnel Yr 4'!B29,'Personnel Yr 3'!B29,'Personnel Yr 2'!B29,'Personnel Yr 1'!B29)</f>
        <v>0</v>
      </c>
      <c r="G7" s="39"/>
    </row>
    <row r="8" spans="1:19" x14ac:dyDescent="0.2">
      <c r="A8" s="763" t="s">
        <v>13</v>
      </c>
      <c r="B8" s="764"/>
      <c r="C8" s="764"/>
      <c r="D8" s="764"/>
      <c r="E8" s="765"/>
      <c r="F8" s="38"/>
      <c r="G8" s="37">
        <f>SUM('Personnel Yr 1'!N30,'Personnel Yr 2'!N30,'Personnel Yr 3'!N30,'Personnel Yr 4'!N30,'Personnel Yr 5'!N30)</f>
        <v>0</v>
      </c>
    </row>
    <row r="9" spans="1:19" x14ac:dyDescent="0.2">
      <c r="A9" s="763" t="s">
        <v>87</v>
      </c>
      <c r="B9" s="764"/>
      <c r="C9" s="764"/>
      <c r="D9" s="764"/>
      <c r="E9" s="765"/>
      <c r="F9" s="38"/>
      <c r="G9" s="37">
        <f>SUM('Non-personnel'!R15:S15)</f>
        <v>0</v>
      </c>
    </row>
    <row r="10" spans="1:19" x14ac:dyDescent="0.2">
      <c r="A10" s="763" t="s">
        <v>88</v>
      </c>
      <c r="B10" s="764"/>
      <c r="C10" s="764"/>
      <c r="D10" s="764"/>
      <c r="E10" s="765"/>
      <c r="F10" s="59">
        <f>SUM('Non-personnel'!R21:S21)</f>
        <v>0</v>
      </c>
      <c r="G10" s="39"/>
    </row>
    <row r="11" spans="1:19" x14ac:dyDescent="0.2">
      <c r="A11" s="36">
        <v>1</v>
      </c>
      <c r="B11" s="758" t="s">
        <v>89</v>
      </c>
      <c r="C11" s="758"/>
      <c r="D11" s="758"/>
      <c r="E11" s="759"/>
      <c r="F11" s="59">
        <f>SUM('Non-personnel'!R19:S19)</f>
        <v>0</v>
      </c>
      <c r="G11" s="39"/>
    </row>
    <row r="12" spans="1:19" x14ac:dyDescent="0.2">
      <c r="A12" s="36">
        <v>2</v>
      </c>
      <c r="B12" s="758" t="s">
        <v>90</v>
      </c>
      <c r="C12" s="758"/>
      <c r="D12" s="758"/>
      <c r="E12" s="759"/>
      <c r="F12" s="60">
        <f>SUM('Non-personnel'!R20:S20)</f>
        <v>0</v>
      </c>
      <c r="G12" s="39"/>
    </row>
    <row r="13" spans="1:19" x14ac:dyDescent="0.2">
      <c r="A13" s="763" t="s">
        <v>91</v>
      </c>
      <c r="B13" s="764"/>
      <c r="C13" s="764"/>
      <c r="D13" s="764"/>
      <c r="E13" s="765"/>
      <c r="F13" s="61"/>
      <c r="G13" s="62">
        <f>SUM('Non-personnel'!R29:S29)</f>
        <v>0</v>
      </c>
    </row>
    <row r="14" spans="1:19" x14ac:dyDescent="0.2">
      <c r="A14" s="36">
        <v>2</v>
      </c>
      <c r="B14" s="758" t="s">
        <v>27</v>
      </c>
      <c r="C14" s="758"/>
      <c r="D14" s="758"/>
      <c r="E14" s="759"/>
      <c r="F14" s="59">
        <f>SUM('Non-personnel'!R25:S25)</f>
        <v>0</v>
      </c>
      <c r="G14" s="39"/>
    </row>
    <row r="15" spans="1:19" x14ac:dyDescent="0.2">
      <c r="A15" s="36">
        <v>3</v>
      </c>
      <c r="B15" s="758" t="s">
        <v>28</v>
      </c>
      <c r="C15" s="758"/>
      <c r="D15" s="758"/>
      <c r="E15" s="759"/>
      <c r="F15" s="59">
        <f>SUM('Non-personnel'!R26:S26)</f>
        <v>0</v>
      </c>
      <c r="G15" s="39"/>
    </row>
    <row r="16" spans="1:19" x14ac:dyDescent="0.2">
      <c r="A16" s="36">
        <v>4</v>
      </c>
      <c r="B16" s="758" t="s">
        <v>29</v>
      </c>
      <c r="C16" s="758"/>
      <c r="D16" s="758"/>
      <c r="E16" s="759"/>
      <c r="F16" s="59">
        <f>SUM('Non-personnel'!R27:S27)</f>
        <v>0</v>
      </c>
      <c r="G16" s="39"/>
    </row>
    <row r="17" spans="1:7" x14ac:dyDescent="0.2">
      <c r="A17" s="36">
        <v>5</v>
      </c>
      <c r="B17" s="758" t="s">
        <v>30</v>
      </c>
      <c r="C17" s="758"/>
      <c r="D17" s="758"/>
      <c r="E17" s="759"/>
      <c r="F17" s="59">
        <f>SUM('Non-personnel'!R28:S28)</f>
        <v>0</v>
      </c>
      <c r="G17" s="39"/>
    </row>
    <row r="18" spans="1:7" x14ac:dyDescent="0.2">
      <c r="A18" s="36">
        <v>6</v>
      </c>
      <c r="B18" s="758" t="s">
        <v>21</v>
      </c>
      <c r="C18" s="758"/>
      <c r="D18" s="758"/>
      <c r="E18" s="759"/>
      <c r="F18" s="59">
        <f>SUM('Non-personnel'!R29:S29)</f>
        <v>0</v>
      </c>
      <c r="G18" s="39"/>
    </row>
    <row r="19" spans="1:7" x14ac:dyDescent="0.2">
      <c r="A19" s="763" t="s">
        <v>92</v>
      </c>
      <c r="B19" s="764"/>
      <c r="C19" s="764"/>
      <c r="D19" s="764"/>
      <c r="E19" s="765"/>
      <c r="F19" s="38"/>
      <c r="G19" s="37">
        <f>SUM('Non-personnel'!R48:S48)</f>
        <v>0</v>
      </c>
    </row>
    <row r="20" spans="1:7" x14ac:dyDescent="0.2">
      <c r="A20" s="36">
        <v>1</v>
      </c>
      <c r="B20" s="758" t="s">
        <v>23</v>
      </c>
      <c r="C20" s="758"/>
      <c r="D20" s="758"/>
      <c r="E20" s="759"/>
      <c r="F20" s="59">
        <f>SUM('Non-personnel'!R34:S34)</f>
        <v>0</v>
      </c>
      <c r="G20" s="39"/>
    </row>
    <row r="21" spans="1:7" x14ac:dyDescent="0.2">
      <c r="A21" s="36">
        <v>2</v>
      </c>
      <c r="B21" s="758" t="s">
        <v>24</v>
      </c>
      <c r="C21" s="758"/>
      <c r="D21" s="758"/>
      <c r="E21" s="759"/>
      <c r="F21" s="59">
        <f>SUM('Non-personnel'!R35:S35)</f>
        <v>0</v>
      </c>
      <c r="G21" s="39"/>
    </row>
    <row r="22" spans="1:7" x14ac:dyDescent="0.2">
      <c r="A22" s="36">
        <v>3</v>
      </c>
      <c r="B22" s="758" t="s">
        <v>25</v>
      </c>
      <c r="C22" s="758"/>
      <c r="D22" s="758"/>
      <c r="E22" s="759"/>
      <c r="F22" s="59">
        <f>SUM('Non-personnel'!R36:S36)</f>
        <v>0</v>
      </c>
      <c r="G22" s="39"/>
    </row>
    <row r="23" spans="1:7" x14ac:dyDescent="0.2">
      <c r="A23" s="36">
        <v>4</v>
      </c>
      <c r="B23" s="758" t="s">
        <v>214</v>
      </c>
      <c r="C23" s="758"/>
      <c r="D23" s="758"/>
      <c r="E23" s="759"/>
      <c r="F23" s="59">
        <f>SUM('Non-personnel'!R37:S37)</f>
        <v>0</v>
      </c>
      <c r="G23" s="39"/>
    </row>
    <row r="24" spans="1:7" x14ac:dyDescent="0.2">
      <c r="A24" s="36">
        <v>5</v>
      </c>
      <c r="B24" s="758" t="s">
        <v>26</v>
      </c>
      <c r="C24" s="758"/>
      <c r="D24" s="758"/>
      <c r="E24" s="759"/>
      <c r="F24" s="59">
        <f>SUM('Non-personnel'!R38:S38)</f>
        <v>0</v>
      </c>
      <c r="G24" s="39"/>
    </row>
    <row r="25" spans="1:7" x14ac:dyDescent="0.2">
      <c r="A25" s="36">
        <v>6</v>
      </c>
      <c r="B25" s="758" t="s">
        <v>215</v>
      </c>
      <c r="C25" s="758"/>
      <c r="D25" s="758"/>
      <c r="E25" s="759"/>
      <c r="F25" s="59">
        <f>SUM('Non-personnel'!R39:S39)</f>
        <v>0</v>
      </c>
      <c r="G25" s="39"/>
    </row>
    <row r="26" spans="1:7" x14ac:dyDescent="0.2">
      <c r="A26" s="36">
        <v>7</v>
      </c>
      <c r="B26" s="758" t="s">
        <v>216</v>
      </c>
      <c r="C26" s="758"/>
      <c r="D26" s="758"/>
      <c r="E26" s="759"/>
      <c r="F26" s="59">
        <f>SUM('Non-personnel'!R40:S40)</f>
        <v>0</v>
      </c>
      <c r="G26" s="39"/>
    </row>
    <row r="27" spans="1:7" x14ac:dyDescent="0.2">
      <c r="A27" s="36">
        <v>8</v>
      </c>
      <c r="B27" s="769" t="s">
        <v>49</v>
      </c>
      <c r="C27" s="769"/>
      <c r="D27" s="769"/>
      <c r="E27" s="770"/>
      <c r="F27" s="59">
        <f>SUM('Non-personnel'!R41:S41)</f>
        <v>0</v>
      </c>
      <c r="G27" s="39"/>
    </row>
    <row r="28" spans="1:7" x14ac:dyDescent="0.2">
      <c r="A28" s="36">
        <v>9</v>
      </c>
      <c r="B28" s="758" t="str">
        <f>'Non-personnel'!B46</f>
        <v>Other - Describe</v>
      </c>
      <c r="C28" s="758"/>
      <c r="D28" s="758"/>
      <c r="E28" s="759"/>
      <c r="F28" s="59">
        <f>SUM('Non-personnel'!R46:S46)</f>
        <v>0</v>
      </c>
      <c r="G28" s="39"/>
    </row>
    <row r="29" spans="1:7" x14ac:dyDescent="0.2">
      <c r="A29" s="36">
        <v>10</v>
      </c>
      <c r="B29" s="758" t="str">
        <f>'Non-personnel'!B47</f>
        <v>Other - Describe</v>
      </c>
      <c r="C29" s="758"/>
      <c r="D29" s="758"/>
      <c r="E29" s="759"/>
      <c r="F29" s="59">
        <f>SUM('Non-personnel'!R47:S47)</f>
        <v>0</v>
      </c>
      <c r="G29" s="39"/>
    </row>
    <row r="30" spans="1:7" x14ac:dyDescent="0.2">
      <c r="A30" s="763" t="s">
        <v>93</v>
      </c>
      <c r="B30" s="764"/>
      <c r="C30" s="764"/>
      <c r="D30" s="764"/>
      <c r="E30" s="765"/>
      <c r="F30" s="38"/>
      <c r="G30" s="37">
        <f>SUM('Non-personnel'!R52:S52)</f>
        <v>0</v>
      </c>
    </row>
    <row r="31" spans="1:7" x14ac:dyDescent="0.2">
      <c r="A31" s="763" t="s">
        <v>94</v>
      </c>
      <c r="B31" s="764"/>
      <c r="C31" s="764"/>
      <c r="D31" s="764"/>
      <c r="E31" s="765"/>
      <c r="F31" s="38"/>
      <c r="G31" s="37">
        <f>SUM('Non-personnel'!R62:S62)</f>
        <v>0</v>
      </c>
    </row>
    <row r="32" spans="1:7" x14ac:dyDescent="0.2">
      <c r="A32" s="763" t="s">
        <v>95</v>
      </c>
      <c r="B32" s="764"/>
      <c r="C32" s="764"/>
      <c r="D32" s="764"/>
      <c r="E32" s="765"/>
      <c r="F32" s="38"/>
      <c r="G32" s="37">
        <f>SUM('Non-personnel'!R66:S66)</f>
        <v>0</v>
      </c>
    </row>
  </sheetData>
  <mergeCells count="31">
    <mergeCell ref="A32:E32"/>
    <mergeCell ref="A31:E31"/>
    <mergeCell ref="A30:E30"/>
    <mergeCell ref="B17:E17"/>
    <mergeCell ref="A13:E13"/>
    <mergeCell ref="B14:E14"/>
    <mergeCell ref="B24:E24"/>
    <mergeCell ref="B28:E28"/>
    <mergeCell ref="B27:E27"/>
    <mergeCell ref="B26:E26"/>
    <mergeCell ref="B29:E29"/>
    <mergeCell ref="B25:E25"/>
    <mergeCell ref="B15:E15"/>
    <mergeCell ref="B23:E23"/>
    <mergeCell ref="B16:E16"/>
    <mergeCell ref="B20:E20"/>
    <mergeCell ref="B22:E22"/>
    <mergeCell ref="B21:E21"/>
    <mergeCell ref="A1:G1"/>
    <mergeCell ref="B7:E7"/>
    <mergeCell ref="F4:G4"/>
    <mergeCell ref="A6:E6"/>
    <mergeCell ref="A5:E5"/>
    <mergeCell ref="B12:E12"/>
    <mergeCell ref="A3:G3"/>
    <mergeCell ref="A9:E9"/>
    <mergeCell ref="A10:E10"/>
    <mergeCell ref="A8:E8"/>
    <mergeCell ref="B11:E11"/>
    <mergeCell ref="B18:E18"/>
    <mergeCell ref="A19:E19"/>
  </mergeCells>
  <phoneticPr fontId="5" type="noConversion"/>
  <printOptions horizontalCentered="1"/>
  <pageMargins left="0.25" right="0.25" top="0.5" bottom="0.5" header="0.5" footer="0.5"/>
  <pageSetup orientation="portrait" r:id="rId1"/>
  <headerFooter alignWithMargins="0">
    <oddFooter>&amp;RPrinted On: &amp;D &amp;T</oddFooter>
  </headerFooter>
  <ignoredErrors>
    <ignoredError sqref="C28:E2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N376"/>
  <sheetViews>
    <sheetView zoomScaleNormal="100" zoomScaleSheetLayoutView="100" workbookViewId="0">
      <selection sqref="A1:H1"/>
    </sheetView>
  </sheetViews>
  <sheetFormatPr defaultRowHeight="12.75" x14ac:dyDescent="0.2"/>
  <cols>
    <col min="1" max="1" width="23.7109375" customWidth="1"/>
    <col min="2" max="2" width="18.7109375" customWidth="1"/>
    <col min="3" max="4" width="15.7109375" customWidth="1"/>
    <col min="5" max="7" width="10.85546875" hidden="1" customWidth="1"/>
    <col min="8" max="8" width="15.7109375" customWidth="1"/>
  </cols>
  <sheetData>
    <row r="1" spans="1:14" ht="20.25" customHeight="1" x14ac:dyDescent="0.2">
      <c r="A1" s="820" t="s">
        <v>505</v>
      </c>
      <c r="B1" s="820"/>
      <c r="C1" s="820"/>
      <c r="D1" s="820"/>
      <c r="E1" s="820"/>
      <c r="F1" s="820"/>
      <c r="G1" s="820"/>
      <c r="H1" s="820"/>
    </row>
    <row r="2" spans="1:14" ht="15" x14ac:dyDescent="0.25">
      <c r="A2" s="529" t="s">
        <v>126</v>
      </c>
      <c r="B2" s="529" t="str">
        <f>CONCATENATE('Personnel Yr 1'!B7, IF(OR(ISBLANK('Personnel Yr 1'!B7),'Personnel Yr 1'!B7=""),""," "),'Personnel Yr 1'!C7, " ",'Personnel Yr 1'!D7,IF(OR(ISBLANK('Personnel Yr 1'!D7),'Personnel Yr 1'!D7=""),""," "),'Personnel Yr 1'!E7," ",'Personnel Yr 1'!F7)</f>
        <v xml:space="preserve">    </v>
      </c>
      <c r="C2" s="529"/>
      <c r="D2" s="530" t="s">
        <v>104</v>
      </c>
      <c r="E2" s="531"/>
      <c r="F2" s="528"/>
      <c r="G2" s="530"/>
      <c r="H2" s="532">
        <f>'Personnel Yr 1'!H5</f>
        <v>44713</v>
      </c>
    </row>
    <row r="3" spans="1:14" s="458" customFormat="1" ht="6.75" customHeight="1" x14ac:dyDescent="0.2">
      <c r="A3" s="473" t="s">
        <v>218</v>
      </c>
      <c r="B3" s="473">
        <f>'Personnel Yr 1'!N4</f>
        <v>0</v>
      </c>
    </row>
    <row r="4" spans="1:14" ht="14.25" x14ac:dyDescent="0.2">
      <c r="A4" s="832" t="s">
        <v>127</v>
      </c>
      <c r="B4" s="832"/>
      <c r="C4" s="80"/>
      <c r="D4" s="80"/>
      <c r="E4" s="80"/>
      <c r="F4" s="80"/>
      <c r="G4" s="80"/>
      <c r="H4" s="80"/>
    </row>
    <row r="5" spans="1:14" ht="14.45" customHeight="1" x14ac:dyDescent="0.25">
      <c r="A5" s="823" t="s">
        <v>128</v>
      </c>
      <c r="B5" s="823"/>
      <c r="C5" s="81"/>
      <c r="D5" s="81"/>
      <c r="E5" s="81"/>
      <c r="F5" s="81"/>
      <c r="G5" s="81"/>
      <c r="H5" s="81"/>
    </row>
    <row r="6" spans="1:14" ht="14.45" customHeight="1" x14ac:dyDescent="0.25">
      <c r="A6" s="224" t="str">
        <f>CONCATENATE('Personnel Yr 1'!B7, IF(OR(ISBLANK('Personnel Yr 1'!B7),'Personnel Yr 1'!B7=""),""," "),'Personnel Yr 1'!C7, " ",'Personnel Yr 1'!D7,IF(OR(ISBLANK('Personnel Yr 1'!D7),'Personnel Yr 1'!D7=""),""," "),'Personnel Yr 1'!E7," ",'Personnel Yr 1'!F7)</f>
        <v xml:space="preserve">    </v>
      </c>
      <c r="B6" s="242"/>
      <c r="C6" s="493" t="s">
        <v>35</v>
      </c>
      <c r="D6" s="493" t="s">
        <v>36</v>
      </c>
      <c r="E6" s="493" t="s">
        <v>37</v>
      </c>
      <c r="F6" s="493" t="s">
        <v>38</v>
      </c>
      <c r="G6" s="493" t="s">
        <v>39</v>
      </c>
      <c r="H6" s="493" t="s">
        <v>40</v>
      </c>
    </row>
    <row r="7" spans="1:14" ht="12.95" customHeight="1" x14ac:dyDescent="0.2">
      <c r="A7" s="474" t="s">
        <v>69</v>
      </c>
      <c r="B7" s="475"/>
      <c r="C7" s="476">
        <f>ROUND(('Personnel Yr 1'!S7),0)</f>
        <v>0</v>
      </c>
      <c r="D7" s="476">
        <f>IF(OR(ISBLANK('Personnel Yr 2'!R7),'Personnel Yr 2'!R7=""),0,ROUND(('Personnel Yr 2'!R7),0))</f>
        <v>0</v>
      </c>
      <c r="E7" s="476">
        <f>IF(OR(ISBLANK('Personnel Yr 3'!R7),'Personnel Yr 3'!R7=""),0,ROUND(('Personnel Yr 3'!R7),0))</f>
        <v>0</v>
      </c>
      <c r="F7" s="476">
        <f>IF(OR(ISBLANK('Personnel Yr 4'!R7),'Personnel Yr 4'!R7=""),0,ROUND(('Personnel Yr 4'!R7),0))</f>
        <v>0</v>
      </c>
      <c r="G7" s="476">
        <f>IF(OR(ISBLANK('Personnel Yr 5'!R7),'Personnel Yr 5'!R7=""),0,ROUND(('Personnel Yr 5'!R7),0))</f>
        <v>0</v>
      </c>
      <c r="H7" s="476">
        <f>SUM(C7:G7)</f>
        <v>0</v>
      </c>
    </row>
    <row r="8" spans="1:14" ht="12.95" customHeight="1" x14ac:dyDescent="0.2">
      <c r="A8" s="474" t="s">
        <v>130</v>
      </c>
      <c r="B8" s="475"/>
      <c r="C8" s="476">
        <f>ROUND(('Personnel Yr 1'!R7),0)</f>
        <v>0</v>
      </c>
      <c r="D8" s="476">
        <f>IF(OR(ISBLANK('Personnel Yr 2'!Q7),'Personnel Yr 2'!Q7=""),0,ROUND(('Personnel Yr 2'!Q7),0))</f>
        <v>0</v>
      </c>
      <c r="E8" s="476">
        <f>IF(OR(ISBLANK('Personnel Yr 3'!Q7),'Personnel Yr 3'!Q7=""),0,ROUND(('Personnel Yr 3'!Q7),0))</f>
        <v>0</v>
      </c>
      <c r="F8" s="476">
        <f>IF(OR(ISBLANK('Personnel Yr 4'!Q7),'Personnel Yr 4'!Q7=""),0,ROUND(('Personnel Yr 4'!Q7),0))</f>
        <v>0</v>
      </c>
      <c r="G8" s="476">
        <f>IF(OR(ISBLANK('Personnel Yr 5'!Q7),'Personnel Yr 5'!Q7=""),0,ROUND(('Personnel Yr 5'!Q7),0))</f>
        <v>0</v>
      </c>
      <c r="H8" s="476">
        <f>SUM(C8:G8)</f>
        <v>0</v>
      </c>
    </row>
    <row r="9" spans="1:14" ht="12.95" customHeight="1" x14ac:dyDescent="0.2">
      <c r="A9" s="474" t="s">
        <v>131</v>
      </c>
      <c r="B9" s="477"/>
      <c r="C9" s="476">
        <f>ROUND(('Personnel Yr 1'!Q7),0)</f>
        <v>0</v>
      </c>
      <c r="D9" s="476">
        <f>IF(OR(ISBLANK('Personnel Yr 2'!P7),'Personnel Yr 2'!P7=""),0,ROUND(('Personnel Yr 2'!P7),0))</f>
        <v>0</v>
      </c>
      <c r="E9" s="476">
        <f>IF(OR(ISBLANK('Personnel Yr 3'!P7),'Personnel Yr 3'!P7=""),0,ROUND(('Personnel Yr 3'!P7),0))</f>
        <v>0</v>
      </c>
      <c r="F9" s="476">
        <f>IF(OR(ISBLANK('Personnel Yr 4'!P7),'Personnel Yr 4'!P7=""),0,ROUND(('Personnel Yr 4'!P7),0))</f>
        <v>0</v>
      </c>
      <c r="G9" s="476">
        <f>IF(OR(ISBLANK('Personnel Yr 5'!P7),'Personnel Yr 5'!P7=""),0,ROUND(('Personnel Yr 5'!P7),0))</f>
        <v>0</v>
      </c>
      <c r="H9" s="476">
        <f>SUM(C9:G9)</f>
        <v>0</v>
      </c>
      <c r="L9" s="9"/>
    </row>
    <row r="10" spans="1:14" ht="12.95" customHeight="1" x14ac:dyDescent="0.25">
      <c r="A10" s="805" t="str">
        <f>CONCATENATE('Personnel Yr 1'!B8, IF(OR(ISBLANK('Personnel Yr 1'!B8),'Personnel Yr 1'!B8=""),""," "),'Personnel Yr 1'!C8, " ",'Personnel Yr 1'!D8,IF(OR(ISBLANK('Personnel Yr 1'!D8),'Personnel Yr 1'!D8=""),""," "),'Personnel Yr 1'!E8," ",'Personnel Yr 1'!F8)</f>
        <v xml:space="preserve">  </v>
      </c>
      <c r="B10" s="826"/>
      <c r="C10" s="478"/>
      <c r="D10" s="479"/>
      <c r="E10" s="479"/>
      <c r="F10" s="479"/>
      <c r="G10" s="479"/>
      <c r="H10" s="480"/>
    </row>
    <row r="11" spans="1:14" ht="12.95" customHeight="1" x14ac:dyDescent="0.2">
      <c r="A11" s="474" t="s">
        <v>69</v>
      </c>
      <c r="B11" s="475"/>
      <c r="C11" s="476">
        <f>ROUND(('Personnel Yr 1'!S8),0)</f>
        <v>0</v>
      </c>
      <c r="D11" s="476">
        <f>IF(OR(ISBLANK('Personnel Yr 2'!R8),'Personnel Yr 2'!R8=""),0,ROUND(('Personnel Yr 2'!R8),0))</f>
        <v>0</v>
      </c>
      <c r="E11" s="476">
        <f>IF(OR(ISBLANK('Personnel Yr 3'!R8),'Personnel Yr 3'!R8=""),0,ROUND(('Personnel Yr 3'!R8),0))</f>
        <v>0</v>
      </c>
      <c r="F11" s="476">
        <f>IF(OR(ISBLANK('Personnel Yr 4'!R8),'Personnel Yr 4'!R8=""),0,ROUND(('Personnel Yr 4'!R8),0))</f>
        <v>0</v>
      </c>
      <c r="G11" s="476">
        <f>IF(OR(ISBLANK('Personnel Yr 5'!R8),'Personnel Yr 5'!R8=""),0,ROUND(('Personnel Yr 5'!R8),0))</f>
        <v>0</v>
      </c>
      <c r="H11" s="476">
        <f>SUM(C11:G11)</f>
        <v>0</v>
      </c>
    </row>
    <row r="12" spans="1:14" ht="12.95" customHeight="1" x14ac:dyDescent="0.2">
      <c r="A12" s="474" t="s">
        <v>130</v>
      </c>
      <c r="B12" s="475"/>
      <c r="C12" s="476">
        <f>ROUND(('Personnel Yr 1'!R8),0)</f>
        <v>0</v>
      </c>
      <c r="D12" s="476">
        <f>IF(OR(ISBLANK('Personnel Yr 2'!Q8),'Personnel Yr 2'!Q8=""),0,ROUND(('Personnel Yr 2'!Q8),0))</f>
        <v>0</v>
      </c>
      <c r="E12" s="476">
        <f>IF(OR(ISBLANK('Personnel Yr 3'!R8),'Personnel Yr 3'!R8=""),0,ROUND(('Personnel Yr 3'!Q8),0))</f>
        <v>0</v>
      </c>
      <c r="F12" s="476">
        <f>IF(OR(ISBLANK('Personnel Yr 4'!R8),'Personnel Yr 4'!R8=""),0,ROUND(('Personnel Yr 4'!Q8),0))</f>
        <v>0</v>
      </c>
      <c r="G12" s="476">
        <f>IF(OR(ISBLANK('Personnel Yr 5'!R8),'Personnel Yr 5'!R8=""),0,ROUND(('Personnel Yr 5'!Q8),0))</f>
        <v>0</v>
      </c>
      <c r="H12" s="476">
        <f>SUM(C12:G12)</f>
        <v>0</v>
      </c>
    </row>
    <row r="13" spans="1:14" ht="12.95" customHeight="1" x14ac:dyDescent="0.2">
      <c r="A13" s="474" t="s">
        <v>131</v>
      </c>
      <c r="B13" s="477"/>
      <c r="C13" s="476">
        <f>ROUND(('Personnel Yr 1'!Q8),0)</f>
        <v>0</v>
      </c>
      <c r="D13" s="476">
        <f>IF(OR(ISBLANK('Personnel Yr 2'!P8),'Personnel Yr 2'!P8=""),0,ROUND(('Personnel Yr 2'!P8),0))</f>
        <v>0</v>
      </c>
      <c r="E13" s="476">
        <f>IF(OR(ISBLANK('Personnel Yr 3'!P8),'Personnel Yr 3'!P8=""),0,ROUND(('Personnel Yr 3'!P8),0))</f>
        <v>0</v>
      </c>
      <c r="F13" s="476">
        <f>IF(OR(ISBLANK('Personnel Yr 4'!P8),'Personnel Yr 4'!P8=""),0,ROUND(('Personnel Yr 4'!P8),0))</f>
        <v>0</v>
      </c>
      <c r="G13" s="476">
        <f>IF(OR(ISBLANK('Personnel Yr 5'!P8),'Personnel Yr 5'!P8=""),0,ROUND(('Personnel Yr 5'!P8),0))</f>
        <v>0</v>
      </c>
      <c r="H13" s="476">
        <f>SUM(C13:G13)</f>
        <v>0</v>
      </c>
      <c r="N13" s="9"/>
    </row>
    <row r="14" spans="1:14" ht="12.95" customHeight="1" x14ac:dyDescent="0.25">
      <c r="A14" s="805" t="str">
        <f>CONCATENATE('Personnel Yr 1'!B9, IF(OR(ISBLANK('Personnel Yr 1'!B9),'Personnel Yr 1'!B9=""),""," "),'Personnel Yr 1'!C9, " ",'Personnel Yr 1'!D9,IF(OR(ISBLANK('Personnel Yr 1'!D9),'Personnel Yr 1'!D9=""),""," "),'Personnel Yr 1'!E9," ",'Personnel Yr 1'!F9)</f>
        <v xml:space="preserve">  </v>
      </c>
      <c r="B14" s="826"/>
      <c r="C14" s="478"/>
      <c r="D14" s="479"/>
      <c r="E14" s="479"/>
      <c r="F14" s="479"/>
      <c r="G14" s="479"/>
      <c r="H14" s="480"/>
    </row>
    <row r="15" spans="1:14" ht="12.95" customHeight="1" x14ac:dyDescent="0.2">
      <c r="A15" s="474" t="s">
        <v>69</v>
      </c>
      <c r="B15" s="475"/>
      <c r="C15" s="476">
        <f>ROUND(('Personnel Yr 1'!S9),0)</f>
        <v>0</v>
      </c>
      <c r="D15" s="476">
        <f>IF(OR(ISBLANK('Personnel Yr 2'!R9),'Personnel Yr 2'!R9=""),0,ROUND(('Personnel Yr 2'!R9),0))</f>
        <v>0</v>
      </c>
      <c r="E15" s="476">
        <f>IF(OR(ISBLANK('Personnel Yr 3'!R9),'Personnel Yr 3'!R9=""),0,ROUND(('Personnel Yr 3'!R9),0))</f>
        <v>0</v>
      </c>
      <c r="F15" s="476">
        <f>IF(OR(ISBLANK('Personnel Yr 4'!R9),'Personnel Yr 4'!R9=""),0,ROUND(('Personnel Yr 4'!R9),0))</f>
        <v>0</v>
      </c>
      <c r="G15" s="476">
        <f>IF(OR(ISBLANK('Personnel Yr 5'!R9),'Personnel Yr 5'!R9=""),0,ROUND(('Personnel Yr 5'!R9),0))</f>
        <v>0</v>
      </c>
      <c r="H15" s="476">
        <f>SUM(C15:G15)</f>
        <v>0</v>
      </c>
    </row>
    <row r="16" spans="1:14" ht="12.95" customHeight="1" x14ac:dyDescent="0.2">
      <c r="A16" s="474" t="s">
        <v>130</v>
      </c>
      <c r="B16" s="475"/>
      <c r="C16" s="476">
        <f>ROUND(('Personnel Yr 1'!R9),0)</f>
        <v>0</v>
      </c>
      <c r="D16" s="476">
        <f>IF(OR(ISBLANK('Personnel Yr 2'!Q9),'Personnel Yr 2'!Q9=""),0,ROUND(('Personnel Yr 2'!Q9),0))</f>
        <v>0</v>
      </c>
      <c r="E16" s="476">
        <f>IF(OR(ISBLANK('Personnel Yr 3'!Q9),'Personnel Yr 3'!Q9=""),0,ROUND(('Personnel Yr 3'!Q9),0))</f>
        <v>0</v>
      </c>
      <c r="F16" s="476">
        <f>IF(OR(ISBLANK('Personnel Yr 4'!Q9),'Personnel Yr 4'!Q9=""),0,ROUND(('Personnel Yr 4'!Q9),0))</f>
        <v>0</v>
      </c>
      <c r="G16" s="476">
        <f>IF(OR(ISBLANK('Personnel Yr 5'!Q9),'Personnel Yr 5'!Q9=""),0,ROUND(('Personnel Yr 5'!Q9),0))</f>
        <v>0</v>
      </c>
      <c r="H16" s="476">
        <f>SUM(C16:G16)</f>
        <v>0</v>
      </c>
    </row>
    <row r="17" spans="1:13" ht="12.95" customHeight="1" x14ac:dyDescent="0.2">
      <c r="A17" s="474" t="s">
        <v>131</v>
      </c>
      <c r="B17" s="477"/>
      <c r="C17" s="476">
        <f>ROUND(('Personnel Yr 1'!Q9),0)</f>
        <v>0</v>
      </c>
      <c r="D17" s="476">
        <f>IF(OR(ISBLANK('Personnel Yr 2'!P9),'Personnel Yr 2'!P9=""),0,ROUND(('Personnel Yr 2'!P9),0))</f>
        <v>0</v>
      </c>
      <c r="E17" s="476">
        <f>IF(OR(ISBLANK('Personnel Yr 3'!P9),'Personnel Yr 3'!P9=""),0,ROUND(('Personnel Yr 3'!P9),0))</f>
        <v>0</v>
      </c>
      <c r="F17" s="476">
        <f>IF(OR(ISBLANK('Personnel Yr 4'!P9),'Personnel Yr 4'!P9=""),0,ROUND(('Personnel Yr 4'!P9),0))</f>
        <v>0</v>
      </c>
      <c r="G17" s="476">
        <f>IF(OR(ISBLANK('Personnel Yr 5'!P9),'Personnel Yr 5'!P9=""),0,ROUND(('Personnel Yr 5'!P9),0))</f>
        <v>0</v>
      </c>
      <c r="H17" s="476">
        <f>SUM(C17:G17)</f>
        <v>0</v>
      </c>
    </row>
    <row r="18" spans="1:13" ht="12.95" customHeight="1" x14ac:dyDescent="0.25">
      <c r="A18" s="805" t="str">
        <f>CONCATENATE('Personnel Yr 1'!B10, IF(OR(ISBLANK('Personnel Yr 1'!B10),'Personnel Yr 1'!B10=""),""," "),'Personnel Yr 1'!C10, " ",'Personnel Yr 1'!D10,IF(OR(ISBLANK('Personnel Yr 1'!D10),'Personnel Yr 1'!D10=""),""," "),'Personnel Yr 1'!E10," ",'Personnel Yr 1'!F10)</f>
        <v xml:space="preserve">  </v>
      </c>
      <c r="B18" s="826"/>
      <c r="C18" s="478"/>
      <c r="D18" s="479"/>
      <c r="E18" s="479"/>
      <c r="F18" s="479"/>
      <c r="G18" s="479"/>
      <c r="H18" s="480"/>
    </row>
    <row r="19" spans="1:13" ht="12.95" customHeight="1" x14ac:dyDescent="0.2">
      <c r="A19" s="474" t="s">
        <v>69</v>
      </c>
      <c r="B19" s="475"/>
      <c r="C19" s="476">
        <f>ROUND(('Personnel Yr 1'!S10),0)</f>
        <v>0</v>
      </c>
      <c r="D19" s="476">
        <f>IF(OR(ISBLANK('Personnel Yr 2'!R10),'Personnel Yr 2'!R10=""),0,ROUND(('Personnel Yr 2'!R10),0))</f>
        <v>0</v>
      </c>
      <c r="E19" s="476">
        <f>IF(OR(ISBLANK('Personnel Yr 3'!R10),'Personnel Yr 3'!R10=""),0,ROUND(('Personnel Yr 3'!R10),0))</f>
        <v>0</v>
      </c>
      <c r="F19" s="476">
        <f>IF(OR(ISBLANK('Personnel Yr 4'!R10),'Personnel Yr 4'!R10=""),0,ROUND(('Personnel Yr 4'!R10),0))</f>
        <v>0</v>
      </c>
      <c r="G19" s="476">
        <f>IF(OR(ISBLANK('Personnel Yr 5'!R10),'Personnel Yr 5'!R10=""),0,ROUND(('Personnel Yr 5'!R10),0))</f>
        <v>0</v>
      </c>
      <c r="H19" s="476">
        <f>SUM(C19:G19)</f>
        <v>0</v>
      </c>
    </row>
    <row r="20" spans="1:13" ht="12.95" customHeight="1" x14ac:dyDescent="0.2">
      <c r="A20" s="474" t="s">
        <v>130</v>
      </c>
      <c r="B20" s="475"/>
      <c r="C20" s="476">
        <f>ROUND(('Personnel Yr 1'!R10),0)</f>
        <v>0</v>
      </c>
      <c r="D20" s="476">
        <f>IF(OR(ISBLANK('Personnel Yr 2'!Q10),'Personnel Yr 2'!Q10=""),0,ROUND(('Personnel Yr 2'!Q10),0))</f>
        <v>0</v>
      </c>
      <c r="E20" s="476">
        <f>IF(OR(ISBLANK('Personnel Yr 3'!Q10),'Personnel Yr 3'!Q10=""),0,ROUND(('Personnel Yr 3'!Q10),0))</f>
        <v>0</v>
      </c>
      <c r="F20" s="476">
        <f>IF(OR(ISBLANK('Personnel Yr 4'!Q10),'Personnel Yr 4'!Q10=""),0,ROUND(('Personnel Yr 4'!Q10),0))</f>
        <v>0</v>
      </c>
      <c r="G20" s="476">
        <f>IF(OR(ISBLANK('Personnel Yr 5'!Q10),'Personnel Yr 5'!Q10=""),0,ROUND(('Personnel Yr 5'!Q10),0))</f>
        <v>0</v>
      </c>
      <c r="H20" s="476">
        <f>SUM(C20:G20)</f>
        <v>0</v>
      </c>
      <c r="M20" s="9"/>
    </row>
    <row r="21" spans="1:13" ht="12.95" customHeight="1" x14ac:dyDescent="0.2">
      <c r="A21" s="474" t="s">
        <v>131</v>
      </c>
      <c r="B21" s="477"/>
      <c r="C21" s="476">
        <f>ROUND(('Personnel Yr 1'!Q10),0)</f>
        <v>0</v>
      </c>
      <c r="D21" s="476">
        <f>IF(OR(ISBLANK('Personnel Yr 2'!P10),'Personnel Yr 2'!P10=""),0,ROUND(('Personnel Yr 2'!P10),0))</f>
        <v>0</v>
      </c>
      <c r="E21" s="476">
        <f>IF(OR(ISBLANK('Personnel Yr 3'!P10),'Personnel Yr 3'!P10=""),0,ROUND(('Personnel Yr 3'!P10),0))</f>
        <v>0</v>
      </c>
      <c r="F21" s="476">
        <f>IF(OR(ISBLANK('Personnel Yr 4'!P10),'Personnel Yr 4'!P10=""),0,ROUND(('Personnel Yr 4'!P10),0))</f>
        <v>0</v>
      </c>
      <c r="G21" s="476">
        <f>IF(OR(ISBLANK('Personnel Yr 5'!P10),'Personnel Yr 5'!P10=""),0,ROUND(('Personnel Yr 5'!P10),0))</f>
        <v>0</v>
      </c>
      <c r="H21" s="476">
        <f>SUM(C21:G21)</f>
        <v>0</v>
      </c>
    </row>
    <row r="22" spans="1:13" ht="12.95" customHeight="1" x14ac:dyDescent="0.25">
      <c r="A22" s="805" t="str">
        <f>CONCATENATE('Personnel Yr 1'!B11, IF(OR(ISBLANK('Personnel Yr 1'!B11),'Personnel Yr 1'!B11=""),""," "),'Personnel Yr 1'!C11, " ",'Personnel Yr 1'!D11,IF(OR(ISBLANK('Personnel Yr 1'!D11),'Personnel Yr 1'!D11=""),""," "),'Personnel Yr 1'!E11," ",'Personnel Yr 1'!F11)</f>
        <v xml:space="preserve">  </v>
      </c>
      <c r="B22" s="826"/>
      <c r="C22" s="478"/>
      <c r="D22" s="479"/>
      <c r="E22" s="479"/>
      <c r="F22" s="479"/>
      <c r="G22" s="479"/>
      <c r="H22" s="480"/>
    </row>
    <row r="23" spans="1:13" ht="12.95" customHeight="1" x14ac:dyDescent="0.2">
      <c r="A23" s="474" t="s">
        <v>69</v>
      </c>
      <c r="B23" s="475"/>
      <c r="C23" s="476">
        <f>ROUND(('Personnel Yr 1'!S11),0)</f>
        <v>0</v>
      </c>
      <c r="D23" s="476">
        <f>IF(OR(ISBLANK('Personnel Yr 2'!R11),'Personnel Yr 2'!R11=""),0,ROUND(('Personnel Yr 2'!R11),0))</f>
        <v>0</v>
      </c>
      <c r="E23" s="476">
        <f>IF(OR(ISBLANK('Personnel Yr 3'!R11),'Personnel Yr 3'!R11=""),0,ROUND(('Personnel Yr 3'!R11),0))</f>
        <v>0</v>
      </c>
      <c r="F23" s="476">
        <f>IF(OR(ISBLANK('Personnel Yr 4'!R11),'Personnel Yr 4'!R11=""),0,ROUND(('Personnel Yr 4'!R11),0))</f>
        <v>0</v>
      </c>
      <c r="G23" s="476">
        <f>IF(OR(ISBLANK('Personnel Yr 5'!R11),'Personnel Yr 5'!R11=""),0,ROUND(('Personnel Yr 5'!R11),0))</f>
        <v>0</v>
      </c>
      <c r="H23" s="476">
        <f>SUM(C23:G23)</f>
        <v>0</v>
      </c>
    </row>
    <row r="24" spans="1:13" ht="12.95" customHeight="1" x14ac:dyDescent="0.2">
      <c r="A24" s="474" t="s">
        <v>130</v>
      </c>
      <c r="B24" s="475"/>
      <c r="C24" s="476">
        <f>ROUND(('Personnel Yr 1'!R11),0)</f>
        <v>0</v>
      </c>
      <c r="D24" s="476">
        <f>IF(OR(ISBLANK('Personnel Yr 2'!Q11),'Personnel Yr 2'!Q11=""),0,ROUND(('Personnel Yr 2'!Q11),0))</f>
        <v>0</v>
      </c>
      <c r="E24" s="476">
        <f>IF(OR(ISBLANK('Personnel Yr 3'!Q11),'Personnel Yr 3'!Q11=""),0,ROUND(('Personnel Yr 3'!Q11),0))</f>
        <v>0</v>
      </c>
      <c r="F24" s="476">
        <f>IF(OR(ISBLANK('Personnel Yr 4'!Q11),'Personnel Yr 4'!Q11=""),0,ROUND(('Personnel Yr 4'!Q11),0))</f>
        <v>0</v>
      </c>
      <c r="G24" s="476">
        <f>IF(OR(ISBLANK('Personnel Yr 5'!Q11),'Personnel Yr 5'!Q11=""),0,ROUND(('Personnel Yr 5'!Q11),0))</f>
        <v>0</v>
      </c>
      <c r="H24" s="476">
        <f>SUM(C24:G24)</f>
        <v>0</v>
      </c>
    </row>
    <row r="25" spans="1:13" ht="12.95" customHeight="1" x14ac:dyDescent="0.2">
      <c r="A25" s="474" t="s">
        <v>131</v>
      </c>
      <c r="B25" s="477"/>
      <c r="C25" s="476">
        <f>ROUND(('Personnel Yr 1'!Q11),0)</f>
        <v>0</v>
      </c>
      <c r="D25" s="476">
        <f>IF(OR(ISBLANK('Personnel Yr 2'!P11),'Personnel Yr 2'!P11=""),0,ROUND(('Personnel Yr 2'!P11),0))</f>
        <v>0</v>
      </c>
      <c r="E25" s="476">
        <f>IF(OR(ISBLANK('Personnel Yr 3'!P11),'Personnel Yr 3'!P11=""),0,ROUND(('Personnel Yr 3'!P11),0))</f>
        <v>0</v>
      </c>
      <c r="F25" s="476">
        <f>IF(OR(ISBLANK('Personnel Yr 4'!P11),'Personnel Yr 4'!P11=""),0,ROUND(('Personnel Yr 4'!P11),0))</f>
        <v>0</v>
      </c>
      <c r="G25" s="476">
        <f>IF(OR(ISBLANK('Personnel Yr 5'!P11),'Personnel Yr 5'!P11=""),0,ROUND(('Personnel Yr 5'!P11),0))</f>
        <v>0</v>
      </c>
      <c r="H25" s="476">
        <f>SUM(C25:G25)</f>
        <v>0</v>
      </c>
    </row>
    <row r="26" spans="1:13" ht="12.95" customHeight="1" x14ac:dyDescent="0.25">
      <c r="A26" s="805" t="str">
        <f>CONCATENATE('Personnel Yr 1'!B12, IF(OR(ISBLANK('Personnel Yr 1'!B12),'Personnel Yr 1'!B12=""),""," "),'Personnel Yr 1'!C12, " ",'Personnel Yr 1'!D12,IF(OR(ISBLANK('Personnel Yr 1'!D12),'Personnel Yr 1'!D12=""),""," "),'Personnel Yr 1'!E12," ",'Personnel Yr 1'!F12)</f>
        <v xml:space="preserve">  </v>
      </c>
      <c r="B26" s="826"/>
      <c r="C26" s="481"/>
      <c r="D26" s="482"/>
      <c r="E26" s="482"/>
      <c r="F26" s="482"/>
      <c r="G26" s="482"/>
      <c r="H26" s="483"/>
    </row>
    <row r="27" spans="1:13" ht="12.95" customHeight="1" x14ac:dyDescent="0.2">
      <c r="A27" s="474" t="s">
        <v>69</v>
      </c>
      <c r="B27" s="475"/>
      <c r="C27" s="476">
        <f>ROUND(('Personnel Yr 1'!S12),0)</f>
        <v>0</v>
      </c>
      <c r="D27" s="476">
        <f>IF(OR(ISBLANK('Personnel Yr 2'!R12),'Personnel Yr 2'!R12=""),0,ROUND(('Personnel Yr 2'!R12),0))</f>
        <v>0</v>
      </c>
      <c r="E27" s="476">
        <f>IF(OR(ISBLANK('Personnel Yr 3'!R12),'Personnel Yr 3'!R12=""),0,ROUND(('Personnel Yr 3'!R12),0))</f>
        <v>0</v>
      </c>
      <c r="F27" s="476">
        <f>IF(OR(ISBLANK('Personnel Yr 4'!R12),'Personnel Yr 4'!R12=""),0,ROUND(('Personnel Yr 4'!R12),0))</f>
        <v>0</v>
      </c>
      <c r="G27" s="476">
        <f>IF(OR(ISBLANK('Personnel Yr 5'!R12),'Personnel Yr 5'!R12=""),0,ROUND(('Personnel Yr 5'!R12),0))</f>
        <v>0</v>
      </c>
      <c r="H27" s="476">
        <f>SUM(C27:G27)</f>
        <v>0</v>
      </c>
    </row>
    <row r="28" spans="1:13" ht="12.95" customHeight="1" x14ac:dyDescent="0.2">
      <c r="A28" s="474" t="s">
        <v>130</v>
      </c>
      <c r="B28" s="475"/>
      <c r="C28" s="476">
        <f>ROUND(('Personnel Yr 1'!R12),0)</f>
        <v>0</v>
      </c>
      <c r="D28" s="476">
        <f>IF(OR(ISBLANK('Personnel Yr 2'!Q12),'Personnel Yr 2'!Q12=""),0,ROUND(('Personnel Yr 2'!Q12),0))</f>
        <v>0</v>
      </c>
      <c r="E28" s="476">
        <f>IF(OR(ISBLANK('Personnel Yr 3'!Q12),'Personnel Yr 3'!Q12=""),0,ROUND(('Personnel Yr 3'!Q12),0))</f>
        <v>0</v>
      </c>
      <c r="F28" s="476">
        <f>IF(OR(ISBLANK('Personnel Yr 4'!Q12),'Personnel Yr 4'!Q12=""),0,ROUND(('Personnel Yr 4'!Q12),0))</f>
        <v>0</v>
      </c>
      <c r="G28" s="476">
        <f>IF(OR(ISBLANK('Personnel Yr 5'!Q12),'Personnel Yr 5'!Q12=""),0,ROUND(('Personnel Yr 5'!Q12),0))</f>
        <v>0</v>
      </c>
      <c r="H28" s="476">
        <f>SUM(C28:G28)</f>
        <v>0</v>
      </c>
    </row>
    <row r="29" spans="1:13" ht="12.95" customHeight="1" x14ac:dyDescent="0.2">
      <c r="A29" s="474" t="s">
        <v>131</v>
      </c>
      <c r="B29" s="477"/>
      <c r="C29" s="476">
        <f>ROUND(('Personnel Yr 1'!Q12),0)</f>
        <v>0</v>
      </c>
      <c r="D29" s="476">
        <f>IF(OR(ISBLANK('Personnel Yr 2'!P12),'Personnel Yr 2'!P12=""),0,ROUND(('Personnel Yr 2'!P12),0))</f>
        <v>0</v>
      </c>
      <c r="E29" s="476">
        <f>IF(OR(ISBLANK('Personnel Yr 3'!P12),'Personnel Yr 3'!P12=""),0,ROUND(('Personnel Yr 3'!P12),0))</f>
        <v>0</v>
      </c>
      <c r="F29" s="476">
        <f>IF(OR(ISBLANK('Personnel Yr 4'!P12),'Personnel Yr 4'!P12=""),0,ROUND(('Personnel Yr 4'!P12),0))</f>
        <v>0</v>
      </c>
      <c r="G29" s="476">
        <f>IF(OR(ISBLANK('Personnel Yr 5'!P12),'Personnel Yr 5'!P12=""),0,ROUND(('Personnel Yr 5'!P12),0))</f>
        <v>0</v>
      </c>
      <c r="H29" s="476">
        <f>SUM(C29:G29)</f>
        <v>0</v>
      </c>
    </row>
    <row r="30" spans="1:13" ht="12.95" customHeight="1" x14ac:dyDescent="0.25">
      <c r="A30" s="805" t="str">
        <f>CONCATENATE('Personnel Yr 1'!B13, IF(OR(ISBLANK('Personnel Yr 1'!B13),'Personnel Yr 1'!B13=""),""," "),'Personnel Yr 1'!C13, " ",'Personnel Yr 1'!D13,IF(OR(ISBLANK('Personnel Yr 1'!D13),'Personnel Yr 1'!D13=""),""," "),'Personnel Yr 1'!E13," ",'Personnel Yr 1'!F13)</f>
        <v xml:space="preserve">  </v>
      </c>
      <c r="B30" s="826"/>
      <c r="C30" s="478"/>
      <c r="D30" s="479"/>
      <c r="E30" s="479"/>
      <c r="F30" s="479"/>
      <c r="G30" s="479"/>
      <c r="H30" s="480"/>
    </row>
    <row r="31" spans="1:13" ht="12.95" customHeight="1" x14ac:dyDescent="0.2">
      <c r="A31" s="474" t="s">
        <v>69</v>
      </c>
      <c r="B31" s="475"/>
      <c r="C31" s="476">
        <f>ROUND(('Personnel Yr 1'!S13),0)</f>
        <v>0</v>
      </c>
      <c r="D31" s="476">
        <f>IF(OR(ISBLANK('Personnel Yr 2'!R13),'Personnel Yr 2'!R13=""),0,ROUND(('Personnel Yr 2'!R13),0))</f>
        <v>0</v>
      </c>
      <c r="E31" s="476">
        <f>IF(OR(ISBLANK('Personnel Yr 3'!R13),'Personnel Yr 3'!R13=""),0,ROUND(('Personnel Yr 3'!R13),0))</f>
        <v>0</v>
      </c>
      <c r="F31" s="476">
        <f>IF(OR(ISBLANK('Personnel Yr 4'!R13),'Personnel Yr 4'!R13=""),0,ROUND(('Personnel Yr 4'!R13),0))</f>
        <v>0</v>
      </c>
      <c r="G31" s="476">
        <f>IF(OR(ISBLANK('Personnel Yr 5'!R13),'Personnel Yr 5'!R13=""),0,ROUND(('Personnel Yr 5'!R13),0))</f>
        <v>0</v>
      </c>
      <c r="H31" s="476">
        <f>SUM(C31:G31)</f>
        <v>0</v>
      </c>
    </row>
    <row r="32" spans="1:13" ht="12.95" customHeight="1" x14ac:dyDescent="0.2">
      <c r="A32" s="474" t="s">
        <v>130</v>
      </c>
      <c r="B32" s="475"/>
      <c r="C32" s="476">
        <f>ROUND(('Personnel Yr 1'!R13),0)</f>
        <v>0</v>
      </c>
      <c r="D32" s="476">
        <f>IF(OR(ISBLANK('Personnel Yr 2'!Q13),'Personnel Yr 2'!Q13=""),0,ROUND(('Personnel Yr 2'!Q13),0))</f>
        <v>0</v>
      </c>
      <c r="E32" s="476">
        <f>IF(OR(ISBLANK('Personnel Yr 3'!Q13),'Personnel Yr 3'!Q13=""),0,ROUND(('Personnel Yr 3'!Q13),0))</f>
        <v>0</v>
      </c>
      <c r="F32" s="476">
        <f>IF(OR(ISBLANK('Personnel Yr 4'!Q13),'Personnel Yr 4'!Q13=""),0,ROUND(('Personnel Yr 4'!Q13),0))</f>
        <v>0</v>
      </c>
      <c r="G32" s="476">
        <f>IF(OR(ISBLANK('Personnel Yr 5'!Q13),'Personnel Yr 5'!Q13=""),0,ROUND(('Personnel Yr 5'!Q13),0))</f>
        <v>0</v>
      </c>
      <c r="H32" s="476">
        <f>SUM(C32:G32)</f>
        <v>0</v>
      </c>
    </row>
    <row r="33" spans="1:8" ht="12.95" customHeight="1" x14ac:dyDescent="0.2">
      <c r="A33" s="474" t="s">
        <v>131</v>
      </c>
      <c r="B33" s="477"/>
      <c r="C33" s="476">
        <f>ROUND(('Personnel Yr 1'!Q13),0)</f>
        <v>0</v>
      </c>
      <c r="D33" s="476">
        <f>IF(OR(ISBLANK('Personnel Yr 2'!P13),'Personnel Yr 2'!P13=""),0,ROUND(('Personnel Yr 2'!P13),0))</f>
        <v>0</v>
      </c>
      <c r="E33" s="476">
        <f>IF(OR(ISBLANK('Personnel Yr 3'!P13),'Personnel Yr 3'!P13=""),0,ROUND(('Personnel Yr 3'!P13),0))</f>
        <v>0</v>
      </c>
      <c r="F33" s="476">
        <f>IF(OR(ISBLANK('Personnel Yr 4'!P13),'Personnel Yr 4'!P13=""),0,ROUND(('Personnel Yr 4'!P13),0))</f>
        <v>0</v>
      </c>
      <c r="G33" s="476">
        <f>IF(OR(ISBLANK('Personnel Yr 5'!P13),'Personnel Yr 5'!P13=""),0,ROUND(('Personnel Yr 5'!P13),0))</f>
        <v>0</v>
      </c>
      <c r="H33" s="476">
        <f>SUM(C33:G33)</f>
        <v>0</v>
      </c>
    </row>
    <row r="34" spans="1:8" ht="12.95" customHeight="1" x14ac:dyDescent="0.25">
      <c r="A34" s="805" t="str">
        <f>CONCATENATE('Personnel Yr 1'!B14, IF(OR(ISBLANK('Personnel Yr 1'!B14),'Personnel Yr 1'!B14=""),""," "),'Personnel Yr 1'!C14, " ",'Personnel Yr 1'!D14,IF(OR(ISBLANK('Personnel Yr 1'!D14),'Personnel Yr 1'!D14=""),""," "),'Personnel Yr 1'!E14," ",'Personnel Yr 1'!F14)</f>
        <v xml:space="preserve">  </v>
      </c>
      <c r="B34" s="826"/>
      <c r="C34" s="478"/>
      <c r="D34" s="479"/>
      <c r="E34" s="479"/>
      <c r="F34" s="479"/>
      <c r="G34" s="479"/>
      <c r="H34" s="480"/>
    </row>
    <row r="35" spans="1:8" ht="12.95" customHeight="1" x14ac:dyDescent="0.2">
      <c r="A35" s="474" t="s">
        <v>69</v>
      </c>
      <c r="B35" s="475"/>
      <c r="C35" s="476">
        <f>ROUND(('Personnel Yr 1'!S14),0)</f>
        <v>0</v>
      </c>
      <c r="D35" s="476">
        <f>IF(OR(ISBLANK('Personnel Yr 2'!R14),'Personnel Yr 2'!R14=""),0,ROUND(('Personnel Yr 2'!R14),0))</f>
        <v>0</v>
      </c>
      <c r="E35" s="476">
        <f>IF(OR(ISBLANK('Personnel Yr 3'!R14),'Personnel Yr 3'!R14=""),0,ROUND(('Personnel Yr 3'!R14),0))</f>
        <v>0</v>
      </c>
      <c r="F35" s="476">
        <f>IF(OR(ISBLANK('Personnel Yr 4'!R14),'Personnel Yr 4'!R14=""),0,ROUND(('Personnel Yr 4'!R14),0))</f>
        <v>0</v>
      </c>
      <c r="G35" s="476">
        <f>IF(OR(ISBLANK('Personnel Yr 5'!R14),'Personnel Yr 5'!R14=""),0,ROUND(('Personnel Yr 5'!R14),0))</f>
        <v>0</v>
      </c>
      <c r="H35" s="476">
        <f t="shared" ref="H35:H40" si="0">SUM(C35:G35)</f>
        <v>0</v>
      </c>
    </row>
    <row r="36" spans="1:8" ht="12.95" customHeight="1" x14ac:dyDescent="0.2">
      <c r="A36" s="474" t="s">
        <v>130</v>
      </c>
      <c r="B36" s="475"/>
      <c r="C36" s="476">
        <f>ROUND(('Personnel Yr 1'!R14),0)</f>
        <v>0</v>
      </c>
      <c r="D36" s="476">
        <f>IF(OR(ISBLANK('Personnel Yr 2'!Q14),'Personnel Yr 2'!Q14=""),0,ROUND(('Personnel Yr 2'!Q14),0))</f>
        <v>0</v>
      </c>
      <c r="E36" s="476">
        <f>IF(OR(ISBLANK('Personnel Yr 3'!Q14),'Personnel Yr 3'!Q14=""),0,ROUND(('Personnel Yr 3'!Q14),0))</f>
        <v>0</v>
      </c>
      <c r="F36" s="476">
        <f>IF(OR(ISBLANK('Personnel Yr 4'!Q14),'Personnel Yr 4'!Q14=""),0,ROUND(('Personnel Yr 4'!Q14),0))</f>
        <v>0</v>
      </c>
      <c r="G36" s="476">
        <f>IF(OR(ISBLANK('Personnel Yr 5'!Q14),'Personnel Yr 5'!Q14=""),0,ROUND(('Personnel Yr 5'!Q14),0))</f>
        <v>0</v>
      </c>
      <c r="H36" s="476">
        <f t="shared" si="0"/>
        <v>0</v>
      </c>
    </row>
    <row r="37" spans="1:8" ht="12.95" customHeight="1" thickBot="1" x14ac:dyDescent="0.25">
      <c r="A37" s="484" t="s">
        <v>131</v>
      </c>
      <c r="B37" s="485"/>
      <c r="C37" s="486">
        <f>ROUND(('Personnel Yr 1'!Q14),0)</f>
        <v>0</v>
      </c>
      <c r="D37" s="486">
        <f>IF(OR(ISBLANK('Personnel Yr 2'!P14),'Personnel Yr 2'!P14=""),0,ROUND(('Personnel Yr 2'!P14),0))</f>
        <v>0</v>
      </c>
      <c r="E37" s="486">
        <f>IF(OR(ISBLANK('Personnel Yr 3'!P14),'Personnel Yr 3'!P14=""),0,ROUND(('Personnel Yr 3'!P14),0))</f>
        <v>0</v>
      </c>
      <c r="F37" s="486">
        <f>IF(OR(ISBLANK('Personnel Yr 4'!P14),'Personnel Yr 4'!P14=""),0,ROUND(('Personnel Yr 4'!P14),0))</f>
        <v>0</v>
      </c>
      <c r="G37" s="486">
        <f>IF(OR(ISBLANK('Personnel Yr 5'!P14),'Personnel Yr 5'!P14=""),0,ROUND(('Personnel Yr 5'!P14),0))</f>
        <v>0</v>
      </c>
      <c r="H37" s="486">
        <f t="shared" si="0"/>
        <v>0</v>
      </c>
    </row>
    <row r="38" spans="1:8" ht="14.45" customHeight="1" thickTop="1" x14ac:dyDescent="0.25">
      <c r="A38" s="830" t="s">
        <v>132</v>
      </c>
      <c r="B38" s="831"/>
      <c r="C38" s="488">
        <f t="shared" ref="C38:G40" si="1">SUM(C7,C11,C15,C19,C23,C27,C31,C35,C265)</f>
        <v>0</v>
      </c>
      <c r="D38" s="487">
        <f t="shared" si="1"/>
        <v>0</v>
      </c>
      <c r="E38" s="487">
        <f t="shared" si="1"/>
        <v>0</v>
      </c>
      <c r="F38" s="487">
        <f t="shared" si="1"/>
        <v>0</v>
      </c>
      <c r="G38" s="487">
        <f t="shared" si="1"/>
        <v>0</v>
      </c>
      <c r="H38" s="488">
        <f t="shared" si="0"/>
        <v>0</v>
      </c>
    </row>
    <row r="39" spans="1:8" ht="14.45" customHeight="1" x14ac:dyDescent="0.25">
      <c r="A39" s="775" t="s">
        <v>134</v>
      </c>
      <c r="B39" s="808"/>
      <c r="C39" s="490">
        <f t="shared" si="1"/>
        <v>0</v>
      </c>
      <c r="D39" s="489">
        <f t="shared" si="1"/>
        <v>0</v>
      </c>
      <c r="E39" s="489">
        <f t="shared" si="1"/>
        <v>0</v>
      </c>
      <c r="F39" s="489">
        <f t="shared" si="1"/>
        <v>0</v>
      </c>
      <c r="G39" s="489">
        <f t="shared" si="1"/>
        <v>0</v>
      </c>
      <c r="H39" s="490">
        <f t="shared" si="0"/>
        <v>0</v>
      </c>
    </row>
    <row r="40" spans="1:8" ht="14.45" customHeight="1" x14ac:dyDescent="0.25">
      <c r="A40" s="828" t="s">
        <v>136</v>
      </c>
      <c r="B40" s="829"/>
      <c r="C40" s="490">
        <f t="shared" si="1"/>
        <v>0</v>
      </c>
      <c r="D40" s="489">
        <f t="shared" si="1"/>
        <v>0</v>
      </c>
      <c r="E40" s="489">
        <f t="shared" si="1"/>
        <v>0</v>
      </c>
      <c r="F40" s="489">
        <f t="shared" si="1"/>
        <v>0</v>
      </c>
      <c r="G40" s="489">
        <f t="shared" si="1"/>
        <v>0</v>
      </c>
      <c r="H40" s="490">
        <f t="shared" si="0"/>
        <v>0</v>
      </c>
    </row>
    <row r="41" spans="1:8" ht="14.45" customHeight="1" thickBot="1" x14ac:dyDescent="0.3">
      <c r="A41" s="824" t="s">
        <v>137</v>
      </c>
      <c r="B41" s="825"/>
      <c r="C41" s="491">
        <f>SUM(C38,C39,C40)</f>
        <v>0</v>
      </c>
      <c r="D41" s="491">
        <f>SUM(D38,D39,D40)</f>
        <v>0</v>
      </c>
      <c r="E41" s="491">
        <f>SUM(E38,E39,E40)</f>
        <v>0</v>
      </c>
      <c r="F41" s="491">
        <f>SUM(F38,F39,F40)</f>
        <v>0</v>
      </c>
      <c r="G41" s="491">
        <f>SUM(G38,G39,G40)</f>
        <v>0</v>
      </c>
      <c r="H41" s="491">
        <f>SUM(C41:G41)</f>
        <v>0</v>
      </c>
    </row>
    <row r="42" spans="1:8" ht="13.5" thickTop="1" x14ac:dyDescent="0.2">
      <c r="A42" s="93"/>
      <c r="B42" s="94"/>
      <c r="C42" s="94"/>
      <c r="D42" s="94"/>
      <c r="E42" s="94"/>
      <c r="F42" s="94"/>
      <c r="G42" s="94"/>
      <c r="H42" s="94"/>
    </row>
    <row r="43" spans="1:8" ht="15" hidden="1" x14ac:dyDescent="0.25">
      <c r="A43" s="823" t="s">
        <v>138</v>
      </c>
      <c r="B43" s="804"/>
      <c r="C43" s="95"/>
      <c r="D43" s="95"/>
      <c r="E43" s="95"/>
      <c r="F43" s="95"/>
      <c r="G43" s="95"/>
      <c r="H43" s="95"/>
    </row>
    <row r="44" spans="1:8" hidden="1" x14ac:dyDescent="0.2">
      <c r="A44" s="780" t="str">
        <f>CONCATENATE('Personnel Yr 1'!B7, IF(OR(ISBLANK('Personnel Yr 1'!B7),'Personnel Yr 1'!B7=""),""," "),'Personnel Yr 1'!C7, " ",'Personnel Yr 1'!D7,IF(OR(ISBLANK('Personnel Yr 1'!D7),'Personnel Yr 1'!D7=""),""," "),'Personnel Yr 1'!E7," ",'Personnel Yr 1'!F7)</f>
        <v xml:space="preserve">    </v>
      </c>
      <c r="B44" s="780"/>
      <c r="C44" s="96" t="s">
        <v>35</v>
      </c>
      <c r="D44" s="96" t="s">
        <v>36</v>
      </c>
      <c r="E44" s="96" t="s">
        <v>37</v>
      </c>
      <c r="F44" s="96" t="s">
        <v>38</v>
      </c>
      <c r="G44" s="96" t="s">
        <v>39</v>
      </c>
      <c r="H44" s="83" t="s">
        <v>40</v>
      </c>
    </row>
    <row r="45" spans="1:8" hidden="1" x14ac:dyDescent="0.2">
      <c r="A45" s="97" t="str">
        <f>IF(ISBLANK('Personnel Yr 1'!G7),"",'Personnel Yr 1'!G7)</f>
        <v/>
      </c>
      <c r="B45" s="98" t="s">
        <v>139</v>
      </c>
      <c r="C45" s="99">
        <f>SUM('Personnel Yr 1'!K7)</f>
        <v>0</v>
      </c>
      <c r="D45" s="99">
        <f>SUM('Personnel Yr 2'!K7)</f>
        <v>0</v>
      </c>
      <c r="E45" s="99">
        <f>SUM('Personnel Yr 3'!K7)</f>
        <v>0</v>
      </c>
      <c r="F45" s="99">
        <f>SUM('Personnel Yr 4'!K7)</f>
        <v>0</v>
      </c>
      <c r="G45" s="99">
        <f>SUM('Personnel Yr 5'!K7)</f>
        <v>0</v>
      </c>
      <c r="H45" s="99">
        <f>SUM(C45:G45)</f>
        <v>0</v>
      </c>
    </row>
    <row r="46" spans="1:8" hidden="1" x14ac:dyDescent="0.2">
      <c r="A46" s="100"/>
      <c r="B46" s="143" t="s">
        <v>140</v>
      </c>
      <c r="C46" s="144">
        <f>C45/3.5</f>
        <v>0</v>
      </c>
      <c r="D46" s="144">
        <f>D45/3.5</f>
        <v>0</v>
      </c>
      <c r="E46" s="144">
        <f>E45/3.5</f>
        <v>0</v>
      </c>
      <c r="F46" s="144">
        <f>F45/3.5</f>
        <v>0</v>
      </c>
      <c r="G46" s="144">
        <f>G45/3.5</f>
        <v>0</v>
      </c>
      <c r="H46" s="145"/>
    </row>
    <row r="47" spans="1:8" hidden="1" x14ac:dyDescent="0.2">
      <c r="A47" s="101"/>
      <c r="B47" s="102" t="s">
        <v>141</v>
      </c>
      <c r="C47" s="99">
        <f>SUM('Personnel Yr 1'!J7)</f>
        <v>0</v>
      </c>
      <c r="D47" s="99">
        <f>SUM('Personnel Yr 2'!J7)</f>
        <v>0</v>
      </c>
      <c r="E47" s="99">
        <f>SUM('Personnel Yr 3'!J7)</f>
        <v>0</v>
      </c>
      <c r="F47" s="99">
        <f>SUM('Personnel Yr 4'!J7)</f>
        <v>0</v>
      </c>
      <c r="G47" s="99">
        <f>SUM('Personnel Yr 5'!J7)</f>
        <v>0</v>
      </c>
      <c r="H47" s="99">
        <f>SUM(C47:G47)</f>
        <v>0</v>
      </c>
    </row>
    <row r="48" spans="1:8" hidden="1" x14ac:dyDescent="0.2">
      <c r="A48" s="101"/>
      <c r="B48" s="146" t="s">
        <v>142</v>
      </c>
      <c r="C48" s="147">
        <f>C47/8.5</f>
        <v>0</v>
      </c>
      <c r="D48" s="147">
        <f>D47/8.5</f>
        <v>0</v>
      </c>
      <c r="E48" s="147">
        <f>E47/8.5</f>
        <v>0</v>
      </c>
      <c r="F48" s="147">
        <f>F47/8.5</f>
        <v>0</v>
      </c>
      <c r="G48" s="147">
        <f>G47/8.5</f>
        <v>0</v>
      </c>
      <c r="H48" s="148"/>
    </row>
    <row r="49" spans="1:8" hidden="1" x14ac:dyDescent="0.2">
      <c r="A49" s="101"/>
      <c r="B49" s="104" t="s">
        <v>143</v>
      </c>
      <c r="C49" s="99">
        <f>SUM('Personnel Yr 1'!I7)</f>
        <v>0</v>
      </c>
      <c r="D49" s="99">
        <f>SUM('Personnel Yr 2'!I7)</f>
        <v>0</v>
      </c>
      <c r="E49" s="99">
        <f>SUM('Personnel Yr 3'!I7)</f>
        <v>0</v>
      </c>
      <c r="F49" s="99">
        <f>SUM('Personnel Yr 4'!I7)</f>
        <v>0</v>
      </c>
      <c r="G49" s="99">
        <f>SUM('Personnel Yr 5'!I7)</f>
        <v>0</v>
      </c>
      <c r="H49" s="99">
        <f>SUM(C49:G49)</f>
        <v>0</v>
      </c>
    </row>
    <row r="50" spans="1:8" hidden="1" x14ac:dyDescent="0.2">
      <c r="A50" s="101"/>
      <c r="B50" s="146" t="s">
        <v>144</v>
      </c>
      <c r="C50" s="147">
        <f>C49/12</f>
        <v>0</v>
      </c>
      <c r="D50" s="147">
        <f>D49/12</f>
        <v>0</v>
      </c>
      <c r="E50" s="147">
        <f>E49/12</f>
        <v>0</v>
      </c>
      <c r="F50" s="147">
        <f>F49/12</f>
        <v>0</v>
      </c>
      <c r="G50" s="147">
        <f>G49/12</f>
        <v>0</v>
      </c>
      <c r="H50" s="149"/>
    </row>
    <row r="51" spans="1:8" hidden="1" x14ac:dyDescent="0.2">
      <c r="A51" s="777" t="str">
        <f>CONCATENATE('Personnel Yr 1'!B8, IF(OR(ISBLANK('Personnel Yr 1'!B8),'Personnel Yr 1'!B8=""),""," "),'Personnel Yr 1'!C8, " ",'Personnel Yr 1'!D8,IF(OR(ISBLANK('Personnel Yr 1'!D8),'Personnel Yr 1'!D8=""),""," "),'Personnel Yr 1'!E8," ",'Personnel Yr 1'!F8)</f>
        <v xml:space="preserve">  </v>
      </c>
      <c r="B51" s="778"/>
      <c r="C51" s="105"/>
      <c r="D51" s="105"/>
      <c r="E51" s="105"/>
      <c r="F51" s="105"/>
      <c r="G51" s="105"/>
      <c r="H51" s="103"/>
    </row>
    <row r="52" spans="1:8" hidden="1" x14ac:dyDescent="0.2">
      <c r="A52" s="97" t="str">
        <f>IF(ISBLANK('Personnel Yr 1'!G8),"",'Personnel Yr 1'!G8)</f>
        <v/>
      </c>
      <c r="B52" s="98" t="s">
        <v>139</v>
      </c>
      <c r="C52" s="99">
        <f>SUM('Personnel Yr 1'!K8)</f>
        <v>0</v>
      </c>
      <c r="D52" s="99">
        <f>SUM('Personnel Yr 2'!K8)</f>
        <v>0</v>
      </c>
      <c r="E52" s="99">
        <f>SUM('Personnel Yr 3'!K8)</f>
        <v>0</v>
      </c>
      <c r="F52" s="99">
        <f>SUM('Personnel Yr 4'!K8)</f>
        <v>0</v>
      </c>
      <c r="G52" s="99">
        <f>SUM('Personnel Yr 5'!K8)</f>
        <v>0</v>
      </c>
      <c r="H52" s="99">
        <f>SUM(C52:G52)</f>
        <v>0</v>
      </c>
    </row>
    <row r="53" spans="1:8" hidden="1" x14ac:dyDescent="0.2">
      <c r="A53" s="100"/>
      <c r="B53" s="150" t="s">
        <v>140</v>
      </c>
      <c r="C53" s="144">
        <f>C52/3.5</f>
        <v>0</v>
      </c>
      <c r="D53" s="144">
        <f>D52/3.5</f>
        <v>0</v>
      </c>
      <c r="E53" s="144">
        <f>E52/3.5</f>
        <v>0</v>
      </c>
      <c r="F53" s="144">
        <f>F52/3.5</f>
        <v>0</v>
      </c>
      <c r="G53" s="144">
        <f>G52/3.5</f>
        <v>0</v>
      </c>
      <c r="H53" s="148"/>
    </row>
    <row r="54" spans="1:8" hidden="1" x14ac:dyDescent="0.2">
      <c r="A54" s="101"/>
      <c r="B54" s="102" t="s">
        <v>141</v>
      </c>
      <c r="C54" s="99">
        <f>SUM('Personnel Yr 1'!J8)</f>
        <v>0</v>
      </c>
      <c r="D54" s="99">
        <f>SUM('Personnel Yr 2'!J8)</f>
        <v>0</v>
      </c>
      <c r="E54" s="99">
        <f>SUM('Personnel Yr 3'!J8)</f>
        <v>0</v>
      </c>
      <c r="F54" s="99">
        <f>SUM('Personnel Yr 4'!J8)</f>
        <v>0</v>
      </c>
      <c r="G54" s="99">
        <f>SUM('Personnel Yr 5'!J8)</f>
        <v>0</v>
      </c>
      <c r="H54" s="99">
        <f>SUM(C54:G54)</f>
        <v>0</v>
      </c>
    </row>
    <row r="55" spans="1:8" hidden="1" x14ac:dyDescent="0.2">
      <c r="A55" s="101"/>
      <c r="B55" s="146" t="s">
        <v>142</v>
      </c>
      <c r="C55" s="147">
        <f>C54/8.5</f>
        <v>0</v>
      </c>
      <c r="D55" s="147">
        <f>D54/8.5</f>
        <v>0</v>
      </c>
      <c r="E55" s="147">
        <f>E54/8.5</f>
        <v>0</v>
      </c>
      <c r="F55" s="147">
        <f>F54/8.5</f>
        <v>0</v>
      </c>
      <c r="G55" s="147">
        <f>G54/8.5</f>
        <v>0</v>
      </c>
      <c r="H55" s="148"/>
    </row>
    <row r="56" spans="1:8" hidden="1" x14ac:dyDescent="0.2">
      <c r="A56" s="106"/>
      <c r="B56" s="104" t="s">
        <v>143</v>
      </c>
      <c r="C56" s="99">
        <f>SUM('Personnel Yr 1'!I8)</f>
        <v>0</v>
      </c>
      <c r="D56" s="99">
        <f>SUM('Personnel Yr 2'!I8)</f>
        <v>0</v>
      </c>
      <c r="E56" s="99">
        <f>SUM('Personnel Yr 3'!I8)</f>
        <v>0</v>
      </c>
      <c r="F56" s="99">
        <f>SUM('Personnel Yr 4'!I8)</f>
        <v>0</v>
      </c>
      <c r="G56" s="99">
        <f>SUM('Personnel Yr 5'!I8)</f>
        <v>0</v>
      </c>
      <c r="H56" s="99">
        <f>SUM(C56:G56)</f>
        <v>0</v>
      </c>
    </row>
    <row r="57" spans="1:8" hidden="1" x14ac:dyDescent="0.2">
      <c r="A57" s="101"/>
      <c r="B57" s="146" t="s">
        <v>144</v>
      </c>
      <c r="C57" s="147">
        <f>C56/12</f>
        <v>0</v>
      </c>
      <c r="D57" s="147">
        <f>D56/12</f>
        <v>0</v>
      </c>
      <c r="E57" s="147">
        <f>E56/12</f>
        <v>0</v>
      </c>
      <c r="F57" s="147">
        <f>F56/12</f>
        <v>0</v>
      </c>
      <c r="G57" s="147">
        <f>G56/12</f>
        <v>0</v>
      </c>
      <c r="H57" s="149"/>
    </row>
    <row r="58" spans="1:8" hidden="1" x14ac:dyDescent="0.2">
      <c r="A58" s="777" t="str">
        <f>CONCATENATE('Personnel Yr 1'!B9, IF(OR(ISBLANK('Personnel Yr 1'!B9),'Personnel Yr 1'!B9=""),""," "),'Personnel Yr 1'!C9, " ",'Personnel Yr 1'!D9,IF(OR(ISBLANK('Personnel Yr 1'!D9),'Personnel Yr 1'!D9=""),""," "),'Personnel Yr 1'!E9," ",'Personnel Yr 1'!F9)</f>
        <v xml:space="preserve">  </v>
      </c>
      <c r="B58" s="778"/>
      <c r="C58" s="105"/>
      <c r="D58" s="105"/>
      <c r="E58" s="105"/>
      <c r="F58" s="105"/>
      <c r="G58" s="105"/>
      <c r="H58" s="103"/>
    </row>
    <row r="59" spans="1:8" hidden="1" x14ac:dyDescent="0.2">
      <c r="A59" s="100" t="str">
        <f>IF(ISBLANK('Personnel Yr 1'!G9),"",'Personnel Yr 1'!G9)</f>
        <v/>
      </c>
      <c r="B59" s="98" t="s">
        <v>139</v>
      </c>
      <c r="C59" s="99">
        <f>SUM('Personnel Yr 1'!K9)</f>
        <v>0</v>
      </c>
      <c r="D59" s="99">
        <f>SUM('Personnel Yr 2'!K9)</f>
        <v>0</v>
      </c>
      <c r="E59" s="99">
        <f>SUM('Personnel Yr 3'!K9)</f>
        <v>0</v>
      </c>
      <c r="F59" s="99">
        <f>SUM('Personnel Yr 4'!K9)</f>
        <v>0</v>
      </c>
      <c r="G59" s="99">
        <f>SUM('Personnel Yr 5'!K9)</f>
        <v>0</v>
      </c>
      <c r="H59" s="99">
        <f>SUM(C59:G59)</f>
        <v>0</v>
      </c>
    </row>
    <row r="60" spans="1:8" hidden="1" x14ac:dyDescent="0.2">
      <c r="A60" s="100"/>
      <c r="B60" s="150" t="s">
        <v>140</v>
      </c>
      <c r="C60" s="144">
        <f>C59/3.5</f>
        <v>0</v>
      </c>
      <c r="D60" s="144">
        <f>D59/3.5</f>
        <v>0</v>
      </c>
      <c r="E60" s="144">
        <f>E59/3.5</f>
        <v>0</v>
      </c>
      <c r="F60" s="144">
        <f>F59/3.5</f>
        <v>0</v>
      </c>
      <c r="G60" s="144">
        <f>G59/3.5</f>
        <v>0</v>
      </c>
      <c r="H60" s="148"/>
    </row>
    <row r="61" spans="1:8" hidden="1" x14ac:dyDescent="0.2">
      <c r="A61" s="101"/>
      <c r="B61" s="102" t="s">
        <v>141</v>
      </c>
      <c r="C61" s="99">
        <f>SUM('Personnel Yr 1'!J9)</f>
        <v>0</v>
      </c>
      <c r="D61" s="99">
        <f>SUM('Personnel Yr 2'!J9)</f>
        <v>0</v>
      </c>
      <c r="E61" s="99">
        <f>SUM('Personnel Yr 3'!J9)</f>
        <v>0</v>
      </c>
      <c r="F61" s="99">
        <f>SUM('Personnel Yr 4'!J9)</f>
        <v>0</v>
      </c>
      <c r="G61" s="99">
        <f>SUM('Personnel Yr 5'!J9)</f>
        <v>0</v>
      </c>
      <c r="H61" s="99">
        <f>SUM(C61:G61)</f>
        <v>0</v>
      </c>
    </row>
    <row r="62" spans="1:8" hidden="1" x14ac:dyDescent="0.2">
      <c r="A62" s="101"/>
      <c r="B62" s="146" t="s">
        <v>142</v>
      </c>
      <c r="C62" s="147">
        <f>C61/8.5</f>
        <v>0</v>
      </c>
      <c r="D62" s="147">
        <f>D61/8.5</f>
        <v>0</v>
      </c>
      <c r="E62" s="147">
        <f>E61/8.5</f>
        <v>0</v>
      </c>
      <c r="F62" s="147">
        <f>F61/8.5</f>
        <v>0</v>
      </c>
      <c r="G62" s="147">
        <f>G61/8.5</f>
        <v>0</v>
      </c>
      <c r="H62" s="148"/>
    </row>
    <row r="63" spans="1:8" hidden="1" x14ac:dyDescent="0.2">
      <c r="A63" s="106"/>
      <c r="B63" s="104" t="s">
        <v>143</v>
      </c>
      <c r="C63" s="99">
        <f>SUM('Personnel Yr 1'!I9)</f>
        <v>0</v>
      </c>
      <c r="D63" s="99">
        <f>SUM('Personnel Yr 2'!I9)</f>
        <v>0</v>
      </c>
      <c r="E63" s="99">
        <f>SUM('Personnel Yr 3'!I9)</f>
        <v>0</v>
      </c>
      <c r="F63" s="99">
        <f>SUM('Personnel Yr 4'!I9)</f>
        <v>0</v>
      </c>
      <c r="G63" s="99">
        <f>SUM('Personnel Yr 5'!I9)</f>
        <v>0</v>
      </c>
      <c r="H63" s="99">
        <f>SUM(C63:G63)</f>
        <v>0</v>
      </c>
    </row>
    <row r="64" spans="1:8" hidden="1" x14ac:dyDescent="0.2">
      <c r="A64" s="101"/>
      <c r="B64" s="146" t="s">
        <v>144</v>
      </c>
      <c r="C64" s="147">
        <f>C63/12</f>
        <v>0</v>
      </c>
      <c r="D64" s="147">
        <f>D63/12</f>
        <v>0</v>
      </c>
      <c r="E64" s="147">
        <f>E63/12</f>
        <v>0</v>
      </c>
      <c r="F64" s="147">
        <f>F63/12</f>
        <v>0</v>
      </c>
      <c r="G64" s="147">
        <f>G63/12</f>
        <v>0</v>
      </c>
      <c r="H64" s="149"/>
    </row>
    <row r="65" spans="1:8" hidden="1" x14ac:dyDescent="0.2">
      <c r="A65" s="777" t="str">
        <f>CONCATENATE('Personnel Yr 1'!B10, IF(OR(ISBLANK('Personnel Yr 1'!B10),'Personnel Yr 1'!B10=""),""," "),'Personnel Yr 1'!C10, " ",'Personnel Yr 1'!D10,IF(OR(ISBLANK('Personnel Yr 1'!D10),'Personnel Yr 1'!D10=""),""," "),'Personnel Yr 1'!E10," ",'Personnel Yr 1'!F10)</f>
        <v xml:space="preserve">  </v>
      </c>
      <c r="B65" s="778"/>
      <c r="C65" s="105"/>
      <c r="D65" s="105"/>
      <c r="E65" s="105"/>
      <c r="F65" s="105"/>
      <c r="G65" s="105"/>
      <c r="H65" s="103"/>
    </row>
    <row r="66" spans="1:8" hidden="1" x14ac:dyDescent="0.2">
      <c r="A66" s="100" t="str">
        <f>IF(ISBLANK('Personnel Yr 1'!G10),"",'Personnel Yr 1'!G10)</f>
        <v/>
      </c>
      <c r="B66" s="98" t="s">
        <v>139</v>
      </c>
      <c r="C66" s="99">
        <f>SUM('Personnel Yr 1'!K10)</f>
        <v>0</v>
      </c>
      <c r="D66" s="99">
        <f>SUM('Personnel Yr 2'!K10)</f>
        <v>0</v>
      </c>
      <c r="E66" s="99">
        <f>SUM('Personnel Yr 3'!K10)</f>
        <v>0</v>
      </c>
      <c r="F66" s="99">
        <f>SUM('Personnel Yr 4'!K10)</f>
        <v>0</v>
      </c>
      <c r="G66" s="99">
        <f>SUM('Personnel Yr 5'!K10)</f>
        <v>0</v>
      </c>
      <c r="H66" s="99">
        <f>SUM(C66:G66)</f>
        <v>0</v>
      </c>
    </row>
    <row r="67" spans="1:8" hidden="1" x14ac:dyDescent="0.2">
      <c r="A67" s="100"/>
      <c r="B67" s="150" t="s">
        <v>140</v>
      </c>
      <c r="C67" s="144">
        <f>C66/3.5</f>
        <v>0</v>
      </c>
      <c r="D67" s="144">
        <f>D66/3.5</f>
        <v>0</v>
      </c>
      <c r="E67" s="144">
        <f>E66/3.5</f>
        <v>0</v>
      </c>
      <c r="F67" s="144">
        <f>F66/3.5</f>
        <v>0</v>
      </c>
      <c r="G67" s="144">
        <f>G66/3.5</f>
        <v>0</v>
      </c>
      <c r="H67" s="148"/>
    </row>
    <row r="68" spans="1:8" hidden="1" x14ac:dyDescent="0.2">
      <c r="A68" s="101"/>
      <c r="B68" s="102" t="s">
        <v>141</v>
      </c>
      <c r="C68" s="99">
        <f>SUM('Personnel Yr 1'!J10)</f>
        <v>0</v>
      </c>
      <c r="D68" s="99">
        <f>SUM('Personnel Yr 2'!J10)</f>
        <v>0</v>
      </c>
      <c r="E68" s="99">
        <f>SUM('Personnel Yr 3'!J10)</f>
        <v>0</v>
      </c>
      <c r="F68" s="99">
        <f>SUM('Personnel Yr 4'!J10)</f>
        <v>0</v>
      </c>
      <c r="G68" s="99">
        <f>SUM('Personnel Yr 5'!J10)</f>
        <v>0</v>
      </c>
      <c r="H68" s="99">
        <f>SUM(C68:G68)</f>
        <v>0</v>
      </c>
    </row>
    <row r="69" spans="1:8" hidden="1" x14ac:dyDescent="0.2">
      <c r="A69" s="101"/>
      <c r="B69" s="146" t="s">
        <v>142</v>
      </c>
      <c r="C69" s="147">
        <f>C68/8.5</f>
        <v>0</v>
      </c>
      <c r="D69" s="147">
        <f>D68/8.5</f>
        <v>0</v>
      </c>
      <c r="E69" s="147">
        <f>E68/8.5</f>
        <v>0</v>
      </c>
      <c r="F69" s="147">
        <f>F68/8.5</f>
        <v>0</v>
      </c>
      <c r="G69" s="147">
        <f>G68/8.5</f>
        <v>0</v>
      </c>
      <c r="H69" s="148"/>
    </row>
    <row r="70" spans="1:8" hidden="1" x14ac:dyDescent="0.2">
      <c r="A70" s="106"/>
      <c r="B70" s="104" t="s">
        <v>143</v>
      </c>
      <c r="C70" s="99">
        <f>SUM('Personnel Yr 1'!I10)</f>
        <v>0</v>
      </c>
      <c r="D70" s="99">
        <f>SUM('Personnel Yr 2'!I10)</f>
        <v>0</v>
      </c>
      <c r="E70" s="99">
        <f>SUM('Personnel Yr 3'!I10)</f>
        <v>0</v>
      </c>
      <c r="F70" s="99">
        <f>SUM('Personnel Yr 4'!I10)</f>
        <v>0</v>
      </c>
      <c r="G70" s="99">
        <f>SUM('Personnel Yr 5'!I10)</f>
        <v>0</v>
      </c>
      <c r="H70" s="99">
        <f>SUM(C70:G70)</f>
        <v>0</v>
      </c>
    </row>
    <row r="71" spans="1:8" hidden="1" x14ac:dyDescent="0.2">
      <c r="A71" s="101"/>
      <c r="B71" s="146" t="s">
        <v>144</v>
      </c>
      <c r="C71" s="147">
        <f>C70/12</f>
        <v>0</v>
      </c>
      <c r="D71" s="147">
        <f>D70/12</f>
        <v>0</v>
      </c>
      <c r="E71" s="147">
        <f>E70/12</f>
        <v>0</v>
      </c>
      <c r="F71" s="147">
        <f>F70/12</f>
        <v>0</v>
      </c>
      <c r="G71" s="147">
        <f>G70/12</f>
        <v>0</v>
      </c>
      <c r="H71" s="149"/>
    </row>
    <row r="72" spans="1:8" hidden="1" x14ac:dyDescent="0.2">
      <c r="A72" s="777" t="str">
        <f>CONCATENATE('Personnel Yr 1'!B11, IF(OR(ISBLANK('Personnel Yr 1'!B11),'Personnel Yr 1'!B11=""),""," "),'Personnel Yr 1'!C11, " ",'Personnel Yr 1'!D11,IF(OR(ISBLANK('Personnel Yr 1'!D11),'Personnel Yr 1'!D11=""),""," "),'Personnel Yr 1'!E11," ",'Personnel Yr 1'!F11)</f>
        <v xml:space="preserve">  </v>
      </c>
      <c r="B72" s="778"/>
      <c r="C72" s="105"/>
      <c r="D72" s="105"/>
      <c r="E72" s="105"/>
      <c r="F72" s="105"/>
      <c r="G72" s="105"/>
      <c r="H72" s="103"/>
    </row>
    <row r="73" spans="1:8" ht="12.75" hidden="1" customHeight="1" x14ac:dyDescent="0.2">
      <c r="A73" s="100" t="str">
        <f>IF(ISBLANK('Personnel Yr 1'!G11),"",'Personnel Yr 1'!G11)</f>
        <v/>
      </c>
      <c r="B73" s="98" t="s">
        <v>139</v>
      </c>
      <c r="C73" s="99">
        <f>SUM('Personnel Yr 1'!K11)</f>
        <v>0</v>
      </c>
      <c r="D73" s="99">
        <f>SUM('Personnel Yr 2'!K11)</f>
        <v>0</v>
      </c>
      <c r="E73" s="99">
        <f>SUM('Personnel Yr 3'!K11)</f>
        <v>0</v>
      </c>
      <c r="F73" s="99">
        <f>SUM('Personnel Yr 4'!K11)</f>
        <v>0</v>
      </c>
      <c r="G73" s="99">
        <f>SUM('Personnel Yr 5'!K11)</f>
        <v>0</v>
      </c>
      <c r="H73" s="99">
        <f>SUM(C73:G73)</f>
        <v>0</v>
      </c>
    </row>
    <row r="74" spans="1:8" ht="12.75" hidden="1" customHeight="1" x14ac:dyDescent="0.2">
      <c r="A74" s="100"/>
      <c r="B74" s="150" t="s">
        <v>140</v>
      </c>
      <c r="C74" s="144">
        <f>C73/3.5</f>
        <v>0</v>
      </c>
      <c r="D74" s="144">
        <f>D73/3.5</f>
        <v>0</v>
      </c>
      <c r="E74" s="144">
        <f>E73/3.5</f>
        <v>0</v>
      </c>
      <c r="F74" s="144">
        <f>F73/3.5</f>
        <v>0</v>
      </c>
      <c r="G74" s="144">
        <f>G73/3.5</f>
        <v>0</v>
      </c>
      <c r="H74" s="148"/>
    </row>
    <row r="75" spans="1:8" hidden="1" x14ac:dyDescent="0.2">
      <c r="A75" s="101"/>
      <c r="B75" s="102" t="s">
        <v>141</v>
      </c>
      <c r="C75" s="99">
        <f>'Personnel Yr 1'!J11</f>
        <v>0</v>
      </c>
      <c r="D75" s="99">
        <f>SUM('Personnel Yr 2'!J11)</f>
        <v>0</v>
      </c>
      <c r="E75" s="99">
        <f>SUM('Personnel Yr 3'!J11)</f>
        <v>0</v>
      </c>
      <c r="F75" s="99">
        <f>SUM('Personnel Yr 4'!J11)</f>
        <v>0</v>
      </c>
      <c r="G75" s="99">
        <f>SUM('Personnel Yr 5'!J11)</f>
        <v>0</v>
      </c>
      <c r="H75" s="99">
        <f>SUM(C75:G75)</f>
        <v>0</v>
      </c>
    </row>
    <row r="76" spans="1:8" hidden="1" x14ac:dyDescent="0.2">
      <c r="A76" s="101"/>
      <c r="B76" s="146" t="s">
        <v>142</v>
      </c>
      <c r="C76" s="147">
        <f>C75/8.5</f>
        <v>0</v>
      </c>
      <c r="D76" s="147">
        <f>D75/8.5</f>
        <v>0</v>
      </c>
      <c r="E76" s="147">
        <f>E75/8.5</f>
        <v>0</v>
      </c>
      <c r="F76" s="147">
        <f>F75/8.5</f>
        <v>0</v>
      </c>
      <c r="G76" s="147">
        <f>G75/8.5</f>
        <v>0</v>
      </c>
      <c r="H76" s="148"/>
    </row>
    <row r="77" spans="1:8" hidden="1" x14ac:dyDescent="0.2">
      <c r="A77" s="106"/>
      <c r="B77" s="104" t="s">
        <v>143</v>
      </c>
      <c r="C77" s="99">
        <f>SUM('Personnel Yr 1'!I11)</f>
        <v>0</v>
      </c>
      <c r="D77" s="99">
        <f>SUM('Personnel Yr 2'!I11)</f>
        <v>0</v>
      </c>
      <c r="E77" s="99">
        <f>SUM('Personnel Yr 3'!I11)</f>
        <v>0</v>
      </c>
      <c r="F77" s="99">
        <f>SUM('Personnel Yr 4'!I11)</f>
        <v>0</v>
      </c>
      <c r="G77" s="99">
        <f>SUM('Personnel Yr 5'!I11)</f>
        <v>0</v>
      </c>
      <c r="H77" s="99">
        <f>SUM(C77:G77)</f>
        <v>0</v>
      </c>
    </row>
    <row r="78" spans="1:8" hidden="1" x14ac:dyDescent="0.2">
      <c r="A78" s="125"/>
      <c r="B78" s="146" t="s">
        <v>144</v>
      </c>
      <c r="C78" s="147">
        <f>C77/12</f>
        <v>0</v>
      </c>
      <c r="D78" s="147">
        <f>D77/12</f>
        <v>0</v>
      </c>
      <c r="E78" s="147">
        <f>E77/12</f>
        <v>0</v>
      </c>
      <c r="F78" s="147">
        <f>F77/12</f>
        <v>0</v>
      </c>
      <c r="G78" s="147">
        <f>G77/12</f>
        <v>0</v>
      </c>
      <c r="H78" s="149"/>
    </row>
    <row r="79" spans="1:8" hidden="1" x14ac:dyDescent="0.2">
      <c r="A79" s="827" t="str">
        <f>CONCATENATE('Personnel Yr 1'!B12, IF(OR(ISBLANK('Personnel Yr 1'!B12),'Personnel Yr 1'!B12=""),""," "),'Personnel Yr 1'!C12, " ",'Personnel Yr 1'!D12,IF(OR(ISBLANK('Personnel Yr 1'!D12),'Personnel Yr 1'!D12=""),""," "),'Personnel Yr 1'!E12," ",'Personnel Yr 1'!F12)</f>
        <v xml:space="preserve">  </v>
      </c>
      <c r="B79" s="780"/>
      <c r="C79" s="105"/>
      <c r="D79" s="105"/>
      <c r="E79" s="105"/>
      <c r="F79" s="105"/>
      <c r="G79" s="105"/>
      <c r="H79" s="103"/>
    </row>
    <row r="80" spans="1:8" ht="12.75" hidden="1" customHeight="1" x14ac:dyDescent="0.2">
      <c r="A80" s="97" t="str">
        <f>IF(ISBLANK('Personnel Yr 1'!G12),"",'Personnel Yr 1'!G12)</f>
        <v/>
      </c>
      <c r="B80" s="98" t="s">
        <v>139</v>
      </c>
      <c r="C80" s="99">
        <f>SUM('Personnel Yr 1'!K12)</f>
        <v>0</v>
      </c>
      <c r="D80" s="99">
        <f>SUM('Personnel Yr 2'!K12)</f>
        <v>0</v>
      </c>
      <c r="E80" s="99">
        <f>SUM('Personnel Yr 3'!K12)</f>
        <v>0</v>
      </c>
      <c r="F80" s="99">
        <f>SUM('Personnel Yr 4'!K12)</f>
        <v>0</v>
      </c>
      <c r="G80" s="99">
        <f>SUM('Personnel Yr 5'!K12)</f>
        <v>0</v>
      </c>
      <c r="H80" s="99">
        <f>SUM(C80:G80)</f>
        <v>0</v>
      </c>
    </row>
    <row r="81" spans="1:8" ht="12.75" hidden="1" customHeight="1" x14ac:dyDescent="0.2">
      <c r="A81" s="100"/>
      <c r="B81" s="150" t="s">
        <v>140</v>
      </c>
      <c r="C81" s="144">
        <f>C80/3.5</f>
        <v>0</v>
      </c>
      <c r="D81" s="144">
        <f>D80/3.5</f>
        <v>0</v>
      </c>
      <c r="E81" s="144">
        <f>E80/3.5</f>
        <v>0</v>
      </c>
      <c r="F81" s="144">
        <f>F80/3.5</f>
        <v>0</v>
      </c>
      <c r="G81" s="144">
        <f>G80/3.5</f>
        <v>0</v>
      </c>
      <c r="H81" s="148"/>
    </row>
    <row r="82" spans="1:8" hidden="1" x14ac:dyDescent="0.2">
      <c r="A82" s="101"/>
      <c r="B82" s="102" t="s">
        <v>141</v>
      </c>
      <c r="C82" s="99">
        <f>SUM('Personnel Yr 1'!J12)</f>
        <v>0</v>
      </c>
      <c r="D82" s="99">
        <f>SUM('Personnel Yr 2'!J12)</f>
        <v>0</v>
      </c>
      <c r="E82" s="99">
        <f>SUM('Personnel Yr 3'!J12)</f>
        <v>0</v>
      </c>
      <c r="F82" s="99">
        <f>SUM('Personnel Yr 4'!J12)</f>
        <v>0</v>
      </c>
      <c r="G82" s="99">
        <f>SUM('Personnel Yr 5'!J12)</f>
        <v>0</v>
      </c>
      <c r="H82" s="99">
        <f>SUM(C82:G82)</f>
        <v>0</v>
      </c>
    </row>
    <row r="83" spans="1:8" hidden="1" x14ac:dyDescent="0.2">
      <c r="A83" s="101"/>
      <c r="B83" s="146" t="s">
        <v>142</v>
      </c>
      <c r="C83" s="147">
        <f>C82/8.5</f>
        <v>0</v>
      </c>
      <c r="D83" s="147">
        <f>D82/8.5</f>
        <v>0</v>
      </c>
      <c r="E83" s="147">
        <f>E82/8.5</f>
        <v>0</v>
      </c>
      <c r="F83" s="147">
        <f>F82/8.5</f>
        <v>0</v>
      </c>
      <c r="G83" s="147">
        <f>G82/8.5</f>
        <v>0</v>
      </c>
      <c r="H83" s="148"/>
    </row>
    <row r="84" spans="1:8" hidden="1" x14ac:dyDescent="0.2">
      <c r="A84" s="106"/>
      <c r="B84" s="104" t="s">
        <v>143</v>
      </c>
      <c r="C84" s="99">
        <f>SUM('Personnel Yr 1'!I12)</f>
        <v>0</v>
      </c>
      <c r="D84" s="99">
        <f>SUM('Personnel Yr 2'!I12)</f>
        <v>0</v>
      </c>
      <c r="E84" s="99">
        <f>SUM('Personnel Yr 3'!I12)</f>
        <v>0</v>
      </c>
      <c r="F84" s="99">
        <f>SUM('Personnel Yr 4'!I12)</f>
        <v>0</v>
      </c>
      <c r="G84" s="99">
        <f>SUM('Personnel Yr 5'!I12)</f>
        <v>0</v>
      </c>
      <c r="H84" s="99">
        <f>SUM(C84:G84)</f>
        <v>0</v>
      </c>
    </row>
    <row r="85" spans="1:8" hidden="1" x14ac:dyDescent="0.2">
      <c r="A85" s="125"/>
      <c r="B85" s="146" t="s">
        <v>144</v>
      </c>
      <c r="C85" s="147">
        <f>C84/12</f>
        <v>0</v>
      </c>
      <c r="D85" s="147">
        <f>D84/12</f>
        <v>0</v>
      </c>
      <c r="E85" s="147">
        <f>E84/12</f>
        <v>0</v>
      </c>
      <c r="F85" s="147">
        <f>F84/12</f>
        <v>0</v>
      </c>
      <c r="G85" s="147">
        <f>G84/12</f>
        <v>0</v>
      </c>
      <c r="H85" s="151"/>
    </row>
    <row r="86" spans="1:8" hidden="1" x14ac:dyDescent="0.2">
      <c r="A86" s="827" t="str">
        <f>CONCATENATE('Personnel Yr 1'!B13, IF(OR(ISBLANK('Personnel Yr 1'!B13),'Personnel Yr 1'!B13=""),""," "),'Personnel Yr 1'!C13, " ",'Personnel Yr 1'!D13,IF(OR(ISBLANK('Personnel Yr 1'!D13),'Personnel Yr 1'!D13=""),""," "),'Personnel Yr 1'!E13," ",'Personnel Yr 1'!F13)</f>
        <v xml:space="preserve">  </v>
      </c>
      <c r="B86" s="780"/>
      <c r="C86" s="108"/>
      <c r="D86" s="108"/>
      <c r="E86" s="108"/>
      <c r="F86" s="108"/>
      <c r="G86" s="124"/>
      <c r="H86" s="123"/>
    </row>
    <row r="87" spans="1:8" hidden="1" x14ac:dyDescent="0.2">
      <c r="A87" s="97" t="str">
        <f>IF(ISBLANK('Personnel Yr 1'!G13),"",'Personnel Yr 1'!G13)</f>
        <v/>
      </c>
      <c r="B87" s="98" t="s">
        <v>139</v>
      </c>
      <c r="C87" s="99">
        <f>SUM('Personnel Yr 1'!K13)</f>
        <v>0</v>
      </c>
      <c r="D87" s="99">
        <f>SUM('Personnel Yr 2'!K13)</f>
        <v>0</v>
      </c>
      <c r="E87" s="99">
        <f>SUM('Personnel Yr 3'!K13)</f>
        <v>0</v>
      </c>
      <c r="F87" s="99">
        <f>SUM('Personnel Yr 4'!K13)</f>
        <v>0</v>
      </c>
      <c r="G87" s="99">
        <f>SUM('Personnel Yr 5'!K13)</f>
        <v>0</v>
      </c>
      <c r="H87" s="99">
        <f>SUM(C87:G87)</f>
        <v>0</v>
      </c>
    </row>
    <row r="88" spans="1:8" hidden="1" x14ac:dyDescent="0.2">
      <c r="A88" s="100"/>
      <c r="B88" s="150" t="s">
        <v>140</v>
      </c>
      <c r="C88" s="144">
        <f>C87/3.5</f>
        <v>0</v>
      </c>
      <c r="D88" s="144">
        <f>D87/3.5</f>
        <v>0</v>
      </c>
      <c r="E88" s="144">
        <f>E87/3.5</f>
        <v>0</v>
      </c>
      <c r="F88" s="144">
        <f>F87/3.5</f>
        <v>0</v>
      </c>
      <c r="G88" s="144">
        <f>G87/3.5</f>
        <v>0</v>
      </c>
      <c r="H88" s="148"/>
    </row>
    <row r="89" spans="1:8" hidden="1" x14ac:dyDescent="0.2">
      <c r="A89" s="101"/>
      <c r="B89" s="102" t="s">
        <v>141</v>
      </c>
      <c r="C89" s="99">
        <f>SUM('Personnel Yr 1'!J13)</f>
        <v>0</v>
      </c>
      <c r="D89" s="99">
        <f>SUM('Personnel Yr 2'!J13)</f>
        <v>0</v>
      </c>
      <c r="E89" s="99">
        <f>SUM('Personnel Yr 3'!J13)</f>
        <v>0</v>
      </c>
      <c r="F89" s="99">
        <f>SUM('Personnel Yr 4'!J13)</f>
        <v>0</v>
      </c>
      <c r="G89" s="99">
        <f>SUM('Personnel Yr 5'!J13)</f>
        <v>0</v>
      </c>
      <c r="H89" s="99">
        <f>SUM(C89:G89)</f>
        <v>0</v>
      </c>
    </row>
    <row r="90" spans="1:8" hidden="1" x14ac:dyDescent="0.2">
      <c r="A90" s="101"/>
      <c r="B90" s="146" t="s">
        <v>142</v>
      </c>
      <c r="C90" s="147">
        <f>C89/8.5</f>
        <v>0</v>
      </c>
      <c r="D90" s="147">
        <f>D89/8.5</f>
        <v>0</v>
      </c>
      <c r="E90" s="147">
        <f>E89/8.5</f>
        <v>0</v>
      </c>
      <c r="F90" s="147">
        <f>F89/8.5</f>
        <v>0</v>
      </c>
      <c r="G90" s="147">
        <f>G89/8.5</f>
        <v>0</v>
      </c>
      <c r="H90" s="148"/>
    </row>
    <row r="91" spans="1:8" hidden="1" x14ac:dyDescent="0.2">
      <c r="A91" s="101"/>
      <c r="B91" s="104" t="s">
        <v>143</v>
      </c>
      <c r="C91" s="99">
        <f>SUM('Personnel Yr 1'!I13)</f>
        <v>0</v>
      </c>
      <c r="D91" s="99">
        <f>SUM('Personnel Yr 2'!I13)</f>
        <v>0</v>
      </c>
      <c r="E91" s="99">
        <f>SUM('Personnel Yr 3'!I13)</f>
        <v>0</v>
      </c>
      <c r="F91" s="99">
        <f>SUM('Personnel Yr 4'!I13)</f>
        <v>0</v>
      </c>
      <c r="G91" s="99">
        <f>SUM('Personnel Yr 5'!I13)</f>
        <v>0</v>
      </c>
      <c r="H91" s="99">
        <f>SUM(C91:G91)</f>
        <v>0</v>
      </c>
    </row>
    <row r="92" spans="1:8" hidden="1" x14ac:dyDescent="0.2">
      <c r="A92" s="125"/>
      <c r="B92" s="146" t="s">
        <v>144</v>
      </c>
      <c r="C92" s="147">
        <f>C91/12</f>
        <v>0</v>
      </c>
      <c r="D92" s="147">
        <f>D91/12</f>
        <v>0</v>
      </c>
      <c r="E92" s="147">
        <f>E91/12</f>
        <v>0</v>
      </c>
      <c r="F92" s="147">
        <f>F91/12</f>
        <v>0</v>
      </c>
      <c r="G92" s="147">
        <f>G91/12</f>
        <v>0</v>
      </c>
      <c r="H92" s="149"/>
    </row>
    <row r="93" spans="1:8" hidden="1" x14ac:dyDescent="0.2">
      <c r="A93" s="827" t="str">
        <f>CONCATENATE('Personnel Yr 1'!B14, IF(OR(ISBLANK('Personnel Yr 1'!B14),'Personnel Yr 1'!B14=""),""," "),'Personnel Yr 1'!C14, " ",'Personnel Yr 1'!D14,IF(OR(ISBLANK('Personnel Yr 1'!D14),'Personnel Yr 1'!D14=""),""," "),'Personnel Yr 1'!E14," ",'Personnel Yr 1'!F14)</f>
        <v xml:space="preserve">  </v>
      </c>
      <c r="B93" s="780"/>
      <c r="C93" s="105"/>
      <c r="D93" s="105"/>
      <c r="E93" s="105"/>
      <c r="F93" s="105"/>
      <c r="G93" s="105"/>
      <c r="H93" s="103"/>
    </row>
    <row r="94" spans="1:8" hidden="1" x14ac:dyDescent="0.2">
      <c r="A94" s="97" t="str">
        <f>IF(ISBLANK('Personnel Yr 1'!G14),"",'Personnel Yr 1'!G14)</f>
        <v/>
      </c>
      <c r="B94" s="98" t="s">
        <v>139</v>
      </c>
      <c r="C94" s="99">
        <f>SUM('Personnel Yr 1'!K14)</f>
        <v>0</v>
      </c>
      <c r="D94" s="99">
        <f>SUM('Personnel Yr 2'!K14)</f>
        <v>0</v>
      </c>
      <c r="E94" s="99">
        <f>SUM('Personnel Yr 3'!K14)</f>
        <v>0</v>
      </c>
      <c r="F94" s="99">
        <f>SUM('Personnel Yr 4'!K14)</f>
        <v>0</v>
      </c>
      <c r="G94" s="99">
        <f>SUM('Personnel Yr 5'!K14)</f>
        <v>0</v>
      </c>
      <c r="H94" s="99">
        <f>SUM(C94:G94)</f>
        <v>0</v>
      </c>
    </row>
    <row r="95" spans="1:8" hidden="1" x14ac:dyDescent="0.2">
      <c r="A95" s="100"/>
      <c r="B95" s="150" t="s">
        <v>140</v>
      </c>
      <c r="C95" s="144">
        <f>C94/3.5</f>
        <v>0</v>
      </c>
      <c r="D95" s="144">
        <f>D94/3.5</f>
        <v>0</v>
      </c>
      <c r="E95" s="144">
        <f>E94/3.5</f>
        <v>0</v>
      </c>
      <c r="F95" s="144">
        <f>F94/3.5</f>
        <v>0</v>
      </c>
      <c r="G95" s="144">
        <f>G94/3.5</f>
        <v>0</v>
      </c>
      <c r="H95" s="148"/>
    </row>
    <row r="96" spans="1:8" hidden="1" x14ac:dyDescent="0.2">
      <c r="A96" s="101"/>
      <c r="B96" s="102" t="s">
        <v>141</v>
      </c>
      <c r="C96" s="99">
        <f>SUM('Personnel Yr 1'!J14)</f>
        <v>0</v>
      </c>
      <c r="D96" s="99">
        <f>SUM('Personnel Yr 2'!J14)</f>
        <v>0</v>
      </c>
      <c r="E96" s="99">
        <f>SUM('Personnel Yr 3'!J14)</f>
        <v>0</v>
      </c>
      <c r="F96" s="99">
        <f>SUM('Personnel Yr 4'!J14)</f>
        <v>0</v>
      </c>
      <c r="G96" s="99">
        <f>SUM('Personnel Yr 5'!J14)</f>
        <v>0</v>
      </c>
      <c r="H96" s="99">
        <f>SUM(C96:G96)</f>
        <v>0</v>
      </c>
    </row>
    <row r="97" spans="1:8" hidden="1" x14ac:dyDescent="0.2">
      <c r="A97" s="101"/>
      <c r="B97" s="146" t="s">
        <v>142</v>
      </c>
      <c r="C97" s="147">
        <f>C96/8.5</f>
        <v>0</v>
      </c>
      <c r="D97" s="147">
        <f>D96/8.5</f>
        <v>0</v>
      </c>
      <c r="E97" s="147">
        <f>E96/8.5</f>
        <v>0</v>
      </c>
      <c r="F97" s="147">
        <f>F96/8.5</f>
        <v>0</v>
      </c>
      <c r="G97" s="147">
        <f>G96/8.5</f>
        <v>0</v>
      </c>
      <c r="H97" s="148"/>
    </row>
    <row r="98" spans="1:8" hidden="1" x14ac:dyDescent="0.2">
      <c r="A98" s="101"/>
      <c r="B98" s="104" t="s">
        <v>143</v>
      </c>
      <c r="C98" s="99">
        <f>SUM('Personnel Yr 1'!I14)</f>
        <v>0</v>
      </c>
      <c r="D98" s="99">
        <f>SUM('Personnel Yr 2'!I14)</f>
        <v>0</v>
      </c>
      <c r="E98" s="99">
        <f>SUM('Personnel Yr 3'!I14)</f>
        <v>0</v>
      </c>
      <c r="F98" s="99">
        <f>SUM('Personnel Yr 4'!I14)</f>
        <v>0</v>
      </c>
      <c r="G98" s="99">
        <f>SUM('Personnel Yr 5'!I14)</f>
        <v>0</v>
      </c>
      <c r="H98" s="99">
        <f>SUM(C98:G98)</f>
        <v>0</v>
      </c>
    </row>
    <row r="99" spans="1:8" ht="13.5" hidden="1" thickBot="1" x14ac:dyDescent="0.25">
      <c r="A99" s="107"/>
      <c r="B99" s="152" t="s">
        <v>144</v>
      </c>
      <c r="C99" s="153">
        <f>C98/12</f>
        <v>0</v>
      </c>
      <c r="D99" s="153">
        <f>D98/12</f>
        <v>0</v>
      </c>
      <c r="E99" s="153">
        <f>E98/12</f>
        <v>0</v>
      </c>
      <c r="F99" s="153">
        <f>F98/12</f>
        <v>0</v>
      </c>
      <c r="G99" s="153">
        <f>G98/12</f>
        <v>0</v>
      </c>
      <c r="H99" s="154"/>
    </row>
    <row r="100" spans="1:8" hidden="1" x14ac:dyDescent="0.2">
      <c r="A100" s="109"/>
      <c r="B100" s="110"/>
      <c r="C100" s="110"/>
      <c r="D100" s="110"/>
      <c r="E100" s="110"/>
      <c r="F100" s="110"/>
      <c r="G100" s="110"/>
      <c r="H100" s="110"/>
    </row>
    <row r="101" spans="1:8" ht="14.45" customHeight="1" x14ac:dyDescent="0.25">
      <c r="A101" s="819" t="s">
        <v>145</v>
      </c>
      <c r="B101" s="819"/>
      <c r="C101" s="492" t="s">
        <v>35</v>
      </c>
      <c r="D101" s="492" t="s">
        <v>36</v>
      </c>
      <c r="E101" s="492" t="s">
        <v>37</v>
      </c>
      <c r="F101" s="492" t="s">
        <v>38</v>
      </c>
      <c r="G101" s="492" t="s">
        <v>39</v>
      </c>
      <c r="H101" s="493" t="s">
        <v>40</v>
      </c>
    </row>
    <row r="102" spans="1:8" s="528" customFormat="1" ht="12.95" customHeight="1" x14ac:dyDescent="0.2">
      <c r="A102" s="821" t="s">
        <v>146</v>
      </c>
      <c r="B102" s="822"/>
      <c r="C102" s="476">
        <f>SUM('Personnel Yr 1'!L23)</f>
        <v>0</v>
      </c>
      <c r="D102" s="476">
        <f>SUM('Personnel Yr 2'!L23)</f>
        <v>0</v>
      </c>
      <c r="E102" s="476">
        <f>SUM('Personnel Yr 3'!L23)</f>
        <v>0</v>
      </c>
      <c r="F102" s="476">
        <f>SUM('Personnel Yr 4'!L23)</f>
        <v>0</v>
      </c>
      <c r="G102" s="476">
        <f>SUM('Personnel Yr 5'!L23)</f>
        <v>0</v>
      </c>
      <c r="H102" s="476">
        <f>SUM(C102:G102)</f>
        <v>0</v>
      </c>
    </row>
    <row r="103" spans="1:8" s="528" customFormat="1" ht="12.95" customHeight="1" x14ac:dyDescent="0.2">
      <c r="A103" s="821" t="s">
        <v>527</v>
      </c>
      <c r="B103" s="822"/>
      <c r="C103" s="476">
        <f>SUM('Personnel Yr 1'!L25)</f>
        <v>0</v>
      </c>
      <c r="D103" s="476">
        <f>SUM('Personnel Yr 2'!L25)</f>
        <v>0</v>
      </c>
      <c r="E103" s="476">
        <f>SUM('Personnel Yr 3'!L25)</f>
        <v>0</v>
      </c>
      <c r="F103" s="476">
        <f>SUM('Personnel Yr 4'!L25)</f>
        <v>0</v>
      </c>
      <c r="G103" s="476">
        <f>SUM('Personnel Yr 5'!L25)</f>
        <v>0</v>
      </c>
      <c r="H103" s="476">
        <f>SUM(C103:G103)</f>
        <v>0</v>
      </c>
    </row>
    <row r="104" spans="1:8" s="528" customFormat="1" ht="12.95" customHeight="1" x14ac:dyDescent="0.2">
      <c r="A104" s="801" t="s">
        <v>149</v>
      </c>
      <c r="B104" s="802"/>
      <c r="C104" s="476"/>
      <c r="D104" s="476"/>
      <c r="E104" s="476"/>
      <c r="F104" s="476"/>
      <c r="G104" s="476"/>
      <c r="H104" s="476"/>
    </row>
    <row r="105" spans="1:8" s="528" customFormat="1" ht="12.95" customHeight="1" x14ac:dyDescent="0.2">
      <c r="A105" s="784" t="s">
        <v>150</v>
      </c>
      <c r="B105" s="785"/>
      <c r="C105" s="476">
        <f>SUM('Personnel Yr 1'!L21)</f>
        <v>0</v>
      </c>
      <c r="D105" s="476">
        <f>SUM('Personnel Yr 2'!L21)</f>
        <v>0</v>
      </c>
      <c r="E105" s="476">
        <f>SUM('Personnel Yr 3'!L21)</f>
        <v>0</v>
      </c>
      <c r="F105" s="476">
        <f>SUM('Personnel Yr 4'!L21)</f>
        <v>0</v>
      </c>
      <c r="G105" s="476">
        <f>SUM('Personnel Yr 5'!L21)</f>
        <v>0</v>
      </c>
      <c r="H105" s="476">
        <f t="shared" ref="H105:H112" si="2">SUM(C105:G105)</f>
        <v>0</v>
      </c>
    </row>
    <row r="106" spans="1:8" s="528" customFormat="1" ht="12.95" customHeight="1" x14ac:dyDescent="0.2">
      <c r="A106" s="784" t="s">
        <v>151</v>
      </c>
      <c r="B106" s="785"/>
      <c r="C106" s="476">
        <f>SUM('Personnel Yr 1'!L24)</f>
        <v>0</v>
      </c>
      <c r="D106" s="476">
        <f>SUM('Personnel Yr 2'!L24)</f>
        <v>0</v>
      </c>
      <c r="E106" s="476">
        <f>SUM('Personnel Yr 3'!L24)</f>
        <v>0</v>
      </c>
      <c r="F106" s="476">
        <f>SUM('Personnel Yr 4'!L24)</f>
        <v>0</v>
      </c>
      <c r="G106" s="476">
        <f>SUM('Personnel Yr 5'!L24)</f>
        <v>0</v>
      </c>
      <c r="H106" s="476">
        <f t="shared" si="2"/>
        <v>0</v>
      </c>
    </row>
    <row r="107" spans="1:8" s="528" customFormat="1" ht="12.95" customHeight="1" x14ac:dyDescent="0.2">
      <c r="A107" s="797" t="s">
        <v>152</v>
      </c>
      <c r="B107" s="798"/>
      <c r="C107" s="476">
        <f>SUM('Personnel Yr 1'!L22)</f>
        <v>0</v>
      </c>
      <c r="D107" s="476">
        <f>SUM('Personnel Yr 2'!L22)</f>
        <v>0</v>
      </c>
      <c r="E107" s="476">
        <f>SUM('Personnel Yr 3'!L22)</f>
        <v>0</v>
      </c>
      <c r="F107" s="476">
        <f>SUM('Personnel Yr 4'!L22)</f>
        <v>0</v>
      </c>
      <c r="G107" s="476">
        <f>SUM('Personnel Yr 5'!L22)</f>
        <v>0</v>
      </c>
      <c r="H107" s="476">
        <f t="shared" si="2"/>
        <v>0</v>
      </c>
    </row>
    <row r="108" spans="1:8" s="528" customFormat="1" ht="12.95" customHeight="1" x14ac:dyDescent="0.2">
      <c r="A108" s="784" t="s">
        <v>153</v>
      </c>
      <c r="B108" s="785"/>
      <c r="C108" s="476">
        <f>SUM('Personnel Yr 1'!L26)</f>
        <v>0</v>
      </c>
      <c r="D108" s="476">
        <f>SUM('Personnel Yr 2'!L26)</f>
        <v>0</v>
      </c>
      <c r="E108" s="476">
        <f>SUM('Personnel Yr 3'!L26)</f>
        <v>0</v>
      </c>
      <c r="F108" s="476">
        <f>SUM('Personnel Yr 4'!L26)</f>
        <v>0</v>
      </c>
      <c r="G108" s="476">
        <f>SUM('Personnel Yr 5'!L26)</f>
        <v>0</v>
      </c>
      <c r="H108" s="476">
        <f t="shared" si="2"/>
        <v>0</v>
      </c>
    </row>
    <row r="109" spans="1:8" s="528" customFormat="1" ht="12.95" customHeight="1" x14ac:dyDescent="0.2">
      <c r="A109" s="797" t="s">
        <v>420</v>
      </c>
      <c r="B109" s="798"/>
      <c r="C109" s="494">
        <f>SUM('Personnel Yr 1'!L27)</f>
        <v>0</v>
      </c>
      <c r="D109" s="494">
        <f>SUM('Personnel Yr 2'!L27)</f>
        <v>0</v>
      </c>
      <c r="E109" s="494">
        <f>SUM('Personnel Yr 3'!L27)</f>
        <v>0</v>
      </c>
      <c r="F109" s="494">
        <f>SUM('Personnel Yr 4'!L27)</f>
        <v>0</v>
      </c>
      <c r="G109" s="494">
        <f>SUM('Personnel Yr 5'!L27)</f>
        <v>0</v>
      </c>
      <c r="H109" s="495">
        <f t="shared" si="2"/>
        <v>0</v>
      </c>
    </row>
    <row r="110" spans="1:8" s="528" customFormat="1" ht="12.95" customHeight="1" x14ac:dyDescent="0.2">
      <c r="A110" s="797" t="s">
        <v>419</v>
      </c>
      <c r="B110" s="798"/>
      <c r="C110" s="494">
        <f>SUM('Personnel Yr 1'!L28)</f>
        <v>0</v>
      </c>
      <c r="D110" s="494">
        <f>SUM('Personnel Yr 2'!L28)</f>
        <v>0</v>
      </c>
      <c r="E110" s="494">
        <f>SUM('Personnel Yr 3'!L28)</f>
        <v>0</v>
      </c>
      <c r="F110" s="494">
        <f>SUM('Personnel Yr 4'!L28)</f>
        <v>0</v>
      </c>
      <c r="G110" s="494">
        <f>SUM('Personnel Yr 5'!L28)</f>
        <v>0</v>
      </c>
      <c r="H110" s="495">
        <f t="shared" ref="H110" si="3">SUM(C110:G110)</f>
        <v>0</v>
      </c>
    </row>
    <row r="111" spans="1:8" ht="14.45" customHeight="1" x14ac:dyDescent="0.25">
      <c r="A111" s="775" t="s">
        <v>154</v>
      </c>
      <c r="B111" s="808"/>
      <c r="C111" s="496">
        <f>SUM(C105:C110)</f>
        <v>0</v>
      </c>
      <c r="D111" s="496">
        <f t="shared" ref="D111:G111" si="4">SUM(D105:D110)</f>
        <v>0</v>
      </c>
      <c r="E111" s="496">
        <f t="shared" si="4"/>
        <v>0</v>
      </c>
      <c r="F111" s="496">
        <f t="shared" si="4"/>
        <v>0</v>
      </c>
      <c r="G111" s="496">
        <f t="shared" si="4"/>
        <v>0</v>
      </c>
      <c r="H111" s="497">
        <f t="shared" si="2"/>
        <v>0</v>
      </c>
    </row>
    <row r="112" spans="1:8" ht="14.45" customHeight="1" thickBot="1" x14ac:dyDescent="0.3">
      <c r="A112" s="813" t="s">
        <v>155</v>
      </c>
      <c r="B112" s="814"/>
      <c r="C112" s="498">
        <f>SUM(C102:C103,C105:C110)</f>
        <v>0</v>
      </c>
      <c r="D112" s="498">
        <f t="shared" ref="D112:G112" si="5">SUM(D102:D103,D105:D110)</f>
        <v>0</v>
      </c>
      <c r="E112" s="498">
        <f t="shared" si="5"/>
        <v>0</v>
      </c>
      <c r="F112" s="498">
        <f t="shared" si="5"/>
        <v>0</v>
      </c>
      <c r="G112" s="498">
        <f t="shared" si="5"/>
        <v>0</v>
      </c>
      <c r="H112" s="498">
        <f t="shared" si="2"/>
        <v>0</v>
      </c>
    </row>
    <row r="113" spans="1:8" ht="13.5" thickTop="1" x14ac:dyDescent="0.2">
      <c r="A113" s="111"/>
      <c r="B113" s="112"/>
      <c r="C113" s="112"/>
      <c r="D113" s="112"/>
      <c r="E113" s="112"/>
      <c r="F113" s="112"/>
      <c r="G113" s="112"/>
      <c r="H113" s="112"/>
    </row>
    <row r="114" spans="1:8" s="528" customFormat="1" ht="14.45" customHeight="1" thickBot="1" x14ac:dyDescent="0.3">
      <c r="A114" s="815" t="s">
        <v>156</v>
      </c>
      <c r="B114" s="816"/>
      <c r="C114" s="491">
        <f>SUM(C112,C41)</f>
        <v>0</v>
      </c>
      <c r="D114" s="491">
        <f>SUM(D112,D41)</f>
        <v>0</v>
      </c>
      <c r="E114" s="491">
        <f>SUM(E112,E41)</f>
        <v>0</v>
      </c>
      <c r="F114" s="491">
        <f>SUM(F112,F41)</f>
        <v>0</v>
      </c>
      <c r="G114" s="491">
        <f>SUM(G112,G41)</f>
        <v>0</v>
      </c>
      <c r="H114" s="491">
        <f>SUM(C114:G114)</f>
        <v>0</v>
      </c>
    </row>
    <row r="115" spans="1:8" ht="13.5" thickTop="1" x14ac:dyDescent="0.2">
      <c r="A115" s="113"/>
      <c r="B115" s="114"/>
      <c r="C115" s="114"/>
      <c r="D115" s="114"/>
      <c r="E115" s="114"/>
      <c r="F115" s="114"/>
      <c r="G115" s="114"/>
      <c r="H115" s="114"/>
    </row>
    <row r="116" spans="1:8" s="528" customFormat="1" ht="14.45" customHeight="1" x14ac:dyDescent="0.25">
      <c r="A116" s="819" t="s">
        <v>157</v>
      </c>
      <c r="B116" s="819"/>
      <c r="C116" s="492" t="s">
        <v>35</v>
      </c>
      <c r="D116" s="492" t="s">
        <v>36</v>
      </c>
      <c r="E116" s="492" t="s">
        <v>37</v>
      </c>
      <c r="F116" s="492" t="s">
        <v>38</v>
      </c>
      <c r="G116" s="492" t="s">
        <v>39</v>
      </c>
      <c r="H116" s="493" t="s">
        <v>40</v>
      </c>
    </row>
    <row r="117" spans="1:8" s="528" customFormat="1" ht="12.95" customHeight="1" x14ac:dyDescent="0.2">
      <c r="A117" s="809" t="str">
        <f>"1)  " &amp; LOOKUP("Full",Ben,Per)*100 &amp; "% (AY Faculty, Regular)"</f>
        <v>1)  36.3% (AY Faculty, Regular)</v>
      </c>
      <c r="B117" s="810"/>
      <c r="C117" s="476">
        <f>SUM('Personnel Yr 1'!U15,'Personnel Yr 1'!V15,'Personnel Yr 1'!M21:M22,'Personnel Yr 1'!M25,'Personnel Yr 1'!U59,'Personnel Yr 1'!V59)</f>
        <v>0</v>
      </c>
      <c r="D117" s="476">
        <f>SUM('Personnel Yr 2'!T15,'Personnel Yr 2'!U15,'Personnel Yr 2'!M21:M22,'Personnel Yr 2'!M25,'Personnel Yr 2'!T59,'Personnel Yr 2'!U59)</f>
        <v>0</v>
      </c>
      <c r="E117" s="476">
        <f>SUM('Personnel Yr 3'!T15,'Personnel Yr 3'!U15,'Personnel Yr 3'!M21:M22,'Personnel Yr 3'!M25,'Personnel Yr 3'!T59,'Personnel Yr 3'!U59)</f>
        <v>0</v>
      </c>
      <c r="F117" s="476">
        <f>SUM('Personnel Yr 4'!T15,'Personnel Yr 4'!U15,'Personnel Yr 4'!M21:M22,'Personnel Yr 4'!M25,'Personnel Yr 4'!T59,'Personnel Yr 4'!U59)</f>
        <v>0</v>
      </c>
      <c r="G117" s="476">
        <f>SUM('Personnel Yr 5'!T15,'Personnel Yr 5'!U15,'Personnel Yr 5'!M21:M22,'Personnel Yr 5'!M25,'Personnel Yr 5'!T59,'Personnel Yr 5'!U59)</f>
        <v>0</v>
      </c>
      <c r="H117" s="476">
        <f t="shared" ref="H117:H122" si="6">SUM(C117:G117)</f>
        <v>0</v>
      </c>
    </row>
    <row r="118" spans="1:8" s="528" customFormat="1" ht="12.95" customHeight="1" x14ac:dyDescent="0.2">
      <c r="A118" s="809" t="str">
        <f>"2)  " &amp; LOOKUP("Summer",Ben,Per)*100 &amp; "% (Summer Faculty)"</f>
        <v>2)  23.4% (Summer Faculty)</v>
      </c>
      <c r="B118" s="810"/>
      <c r="C118" s="476">
        <f>SUM('Personnel Yr 1'!W15,'Personnel Yr 1'!W59)</f>
        <v>0</v>
      </c>
      <c r="D118" s="476">
        <f>SUM('Personnel Yr 2'!V15,'Personnel Yr 2'!V59)</f>
        <v>0</v>
      </c>
      <c r="E118" s="476">
        <f>SUM('Personnel Yr 3'!V15,'Personnel Yr 3'!V59)</f>
        <v>0</v>
      </c>
      <c r="F118" s="476">
        <f>SUM('Personnel Yr 4'!V15,'Personnel Yr 4'!V59)</f>
        <v>0</v>
      </c>
      <c r="G118" s="476">
        <f>SUM('Personnel Yr 5'!V15,'Personnel Yr 5'!V59)</f>
        <v>0</v>
      </c>
      <c r="H118" s="476">
        <f t="shared" si="6"/>
        <v>0</v>
      </c>
    </row>
    <row r="119" spans="1:8" s="528" customFormat="1" ht="12.95" customHeight="1" x14ac:dyDescent="0.2">
      <c r="A119" s="809" t="str">
        <f>IF(ISBLANK('Personnel Yr 1'!H23),"3)  " &amp; 'Drop Choices'!D2 * 100 &amp; "%/" &amp; 'Drop Choices'!D3 * 100 &amp; "% (GA)","3)  " &amp; LOOKUP('Personnel Yr 1'!H23,Grad,GradR)*100 &amp; "% (Graduate Assistants)")</f>
        <v>3)  20.4% (Graduate Assistants)</v>
      </c>
      <c r="B119" s="810"/>
      <c r="C119" s="476">
        <f>SUM('Personnel Yr 1'!M23)</f>
        <v>0</v>
      </c>
      <c r="D119" s="476">
        <f>SUM('Personnel Yr 2'!M23)</f>
        <v>0</v>
      </c>
      <c r="E119" s="476">
        <f>SUM('Personnel Yr 3'!M23)</f>
        <v>0</v>
      </c>
      <c r="F119" s="476">
        <f>SUM('Personnel Yr 4'!M23)</f>
        <v>0</v>
      </c>
      <c r="G119" s="476">
        <f>SUM('Personnel Yr 5'!M23)</f>
        <v>0</v>
      </c>
      <c r="H119" s="476">
        <f t="shared" si="6"/>
        <v>0</v>
      </c>
    </row>
    <row r="120" spans="1:8" s="528" customFormat="1" ht="12.95" customHeight="1" x14ac:dyDescent="0.2">
      <c r="A120" s="811" t="str">
        <f>"4)  " &amp; LOOKUP("Temp",Ben,Per)*100 &amp; "% (Hourly &amp; Extra Service)"</f>
        <v>4)  7.65% (Hourly &amp; Extra Service)</v>
      </c>
      <c r="B120" s="812"/>
      <c r="C120" s="495">
        <f>SUM('Personnel Yr 1'!M24,'Personnel Yr 1'!M26,'Personnel Yr 1'!M27)</f>
        <v>0</v>
      </c>
      <c r="D120" s="495">
        <f>SUM('Personnel Yr 2'!M24,'Personnel Yr 2'!M26,'Personnel Yr 2'!M27)</f>
        <v>0</v>
      </c>
      <c r="E120" s="495">
        <f>SUM('Personnel Yr 3'!M24,'Personnel Yr 3'!M26,'Personnel Yr 3'!M27)</f>
        <v>0</v>
      </c>
      <c r="F120" s="495">
        <f>SUM('Personnel Yr 4'!M24,'Personnel Yr 4'!M26,'Personnel Yr 4'!M27)</f>
        <v>0</v>
      </c>
      <c r="G120" s="495">
        <f>SUM('Personnel Yr 5'!M24,'Personnel Yr 5'!M26,'Personnel Yr 5'!M27)</f>
        <v>0</v>
      </c>
      <c r="H120" s="495">
        <f t="shared" si="6"/>
        <v>0</v>
      </c>
    </row>
    <row r="121" spans="1:8" s="528" customFormat="1" ht="12.95" customHeight="1" x14ac:dyDescent="0.2">
      <c r="A121" s="811" t="str">
        <f>"5)  " &amp; LOOKUP("Adjunct",Ben,Per)*100 &amp; "% (Adjunct)"</f>
        <v>5)  13.5% (Adjunct)</v>
      </c>
      <c r="B121" s="812"/>
      <c r="C121" s="494">
        <f>SUM('Personnel Yr 1'!M28)</f>
        <v>0</v>
      </c>
      <c r="D121" s="494">
        <f>SUM('Personnel Yr 2'!M28)</f>
        <v>0</v>
      </c>
      <c r="E121" s="494">
        <f>SUM('Personnel Yr 3'!M28)</f>
        <v>0</v>
      </c>
      <c r="F121" s="494">
        <f>SUM('Personnel Yr 4'!M28)</f>
        <v>0</v>
      </c>
      <c r="G121" s="494">
        <f>SUM('Personnel Yr 5'!M28)</f>
        <v>0</v>
      </c>
      <c r="H121" s="495">
        <f t="shared" si="6"/>
        <v>0</v>
      </c>
    </row>
    <row r="122" spans="1:8" s="528" customFormat="1" ht="14.45" customHeight="1" thickBot="1" x14ac:dyDescent="0.3">
      <c r="A122" s="817" t="s">
        <v>158</v>
      </c>
      <c r="B122" s="818"/>
      <c r="C122" s="491">
        <f>SUM(C117:C121)</f>
        <v>0</v>
      </c>
      <c r="D122" s="491">
        <f>SUM(D117:D120)</f>
        <v>0</v>
      </c>
      <c r="E122" s="491">
        <f>SUM(E117:E120)</f>
        <v>0</v>
      </c>
      <c r="F122" s="491">
        <f>SUM(F117:F120)</f>
        <v>0</v>
      </c>
      <c r="G122" s="491">
        <f>SUM(G117:G120)</f>
        <v>0</v>
      </c>
      <c r="H122" s="491">
        <f t="shared" si="6"/>
        <v>0</v>
      </c>
    </row>
    <row r="123" spans="1:8" ht="13.5" thickTop="1" x14ac:dyDescent="0.2">
      <c r="A123" s="111"/>
      <c r="B123" s="112"/>
      <c r="C123" s="112"/>
      <c r="D123" s="112"/>
      <c r="E123" s="112"/>
      <c r="F123" s="112"/>
      <c r="G123" s="112"/>
      <c r="H123" s="138"/>
    </row>
    <row r="124" spans="1:8" s="528" customFormat="1" ht="14.45" customHeight="1" thickBot="1" x14ac:dyDescent="0.3">
      <c r="A124" s="817" t="s">
        <v>160</v>
      </c>
      <c r="B124" s="818"/>
      <c r="C124" s="499">
        <f>SUM(C122,C114)</f>
        <v>0</v>
      </c>
      <c r="D124" s="499">
        <f>SUM(D122,D114)</f>
        <v>0</v>
      </c>
      <c r="E124" s="499">
        <f>SUM(E122,E114)</f>
        <v>0</v>
      </c>
      <c r="F124" s="499">
        <f>SUM(F122,F114)</f>
        <v>0</v>
      </c>
      <c r="G124" s="499">
        <f>SUM(G122,G114)</f>
        <v>0</v>
      </c>
      <c r="H124" s="500">
        <f>SUM(C124:G124)</f>
        <v>0</v>
      </c>
    </row>
    <row r="125" spans="1:8" ht="13.5" thickTop="1" x14ac:dyDescent="0.2">
      <c r="A125" s="113"/>
      <c r="B125" s="114"/>
      <c r="C125" s="114"/>
      <c r="D125" s="114"/>
      <c r="E125" s="114"/>
      <c r="F125" s="114"/>
      <c r="G125" s="114"/>
      <c r="H125" s="114"/>
    </row>
    <row r="126" spans="1:8" s="528" customFormat="1" ht="14.45" customHeight="1" x14ac:dyDescent="0.25">
      <c r="A126" s="819" t="s">
        <v>161</v>
      </c>
      <c r="B126" s="819"/>
      <c r="C126" s="492" t="s">
        <v>35</v>
      </c>
      <c r="D126" s="492" t="s">
        <v>36</v>
      </c>
      <c r="E126" s="492" t="s">
        <v>37</v>
      </c>
      <c r="F126" s="492" t="s">
        <v>38</v>
      </c>
      <c r="G126" s="492" t="s">
        <v>39</v>
      </c>
      <c r="H126" s="493" t="s">
        <v>40</v>
      </c>
    </row>
    <row r="127" spans="1:8" s="528" customFormat="1" ht="12.95" customHeight="1" x14ac:dyDescent="0.2">
      <c r="A127" s="809" t="s">
        <v>511</v>
      </c>
      <c r="B127" s="810"/>
      <c r="C127" s="476">
        <f>SUM('Non-personnel'!H15:I15)</f>
        <v>0</v>
      </c>
      <c r="D127" s="476">
        <f>SUM('Non-personnel'!J15:K15)</f>
        <v>0</v>
      </c>
      <c r="E127" s="476">
        <f>SUM('Non-personnel'!L15:M15)</f>
        <v>0</v>
      </c>
      <c r="F127" s="476">
        <f>SUM('Non-personnel'!M15:O15)</f>
        <v>0</v>
      </c>
      <c r="G127" s="476">
        <f>SUM('Non-personnel'!P15:Q15)</f>
        <v>0</v>
      </c>
      <c r="H127" s="476">
        <f>SUM(C127:G127)</f>
        <v>0</v>
      </c>
    </row>
    <row r="128" spans="1:8" s="528" customFormat="1" ht="14.45" customHeight="1" thickBot="1" x14ac:dyDescent="0.3">
      <c r="A128" s="817" t="s">
        <v>163</v>
      </c>
      <c r="B128" s="818"/>
      <c r="C128" s="501">
        <f>SUM('Non-personnel'!H15:I15)</f>
        <v>0</v>
      </c>
      <c r="D128" s="501">
        <f>SUM('Non-personnel'!J15:K15)</f>
        <v>0</v>
      </c>
      <c r="E128" s="501">
        <f>SUM('Non-personnel'!L15:M15)</f>
        <v>0</v>
      </c>
      <c r="F128" s="501">
        <f>SUM('Non-personnel'!N15:O15)</f>
        <v>0</v>
      </c>
      <c r="G128" s="501">
        <f>SUM('Non-personnel'!P15:Q15)</f>
        <v>0</v>
      </c>
      <c r="H128" s="491">
        <f>SUM(C128:G128)</f>
        <v>0</v>
      </c>
    </row>
    <row r="129" spans="1:8" ht="13.5" thickTop="1" x14ac:dyDescent="0.2">
      <c r="A129" s="113"/>
      <c r="B129" s="115"/>
      <c r="C129" s="115"/>
      <c r="D129" s="115"/>
      <c r="E129" s="115"/>
      <c r="F129" s="115"/>
      <c r="G129" s="115"/>
      <c r="H129" s="115"/>
    </row>
    <row r="130" spans="1:8" s="528" customFormat="1" ht="14.45" customHeight="1" x14ac:dyDescent="0.25">
      <c r="A130" s="819" t="s">
        <v>164</v>
      </c>
      <c r="B130" s="819"/>
      <c r="C130" s="492" t="s">
        <v>35</v>
      </c>
      <c r="D130" s="492" t="s">
        <v>36</v>
      </c>
      <c r="E130" s="492" t="s">
        <v>37</v>
      </c>
      <c r="F130" s="492" t="s">
        <v>38</v>
      </c>
      <c r="G130" s="492" t="s">
        <v>39</v>
      </c>
      <c r="H130" s="493" t="s">
        <v>40</v>
      </c>
    </row>
    <row r="131" spans="1:8" s="528" customFormat="1" ht="12.95" customHeight="1" x14ac:dyDescent="0.2">
      <c r="A131" s="809" t="s">
        <v>201</v>
      </c>
      <c r="B131" s="810"/>
      <c r="C131" s="476">
        <f>SUM('Non-personnel'!H19:I19)</f>
        <v>0</v>
      </c>
      <c r="D131" s="476">
        <f>SUM('Non-personnel'!J19:K19)</f>
        <v>0</v>
      </c>
      <c r="E131" s="476">
        <f>SUM('Non-personnel'!L19:M19)</f>
        <v>0</v>
      </c>
      <c r="F131" s="476">
        <f>SUM('Non-personnel'!N19:O19)</f>
        <v>0</v>
      </c>
      <c r="G131" s="476">
        <f>SUM('Non-personnel'!P19:Q19)</f>
        <v>0</v>
      </c>
      <c r="H131" s="476">
        <f>SUM(C131:G131)</f>
        <v>0</v>
      </c>
    </row>
    <row r="132" spans="1:8" s="528" customFormat="1" ht="12.95" customHeight="1" x14ac:dyDescent="0.2">
      <c r="A132" s="809" t="s">
        <v>202</v>
      </c>
      <c r="B132" s="810"/>
      <c r="C132" s="476">
        <f>SUM('Non-personnel'!H20:I20)</f>
        <v>0</v>
      </c>
      <c r="D132" s="476">
        <f>SUM('Non-personnel'!J20:K20)</f>
        <v>0</v>
      </c>
      <c r="E132" s="476">
        <f>SUM('Non-personnel'!L20:M20)</f>
        <v>0</v>
      </c>
      <c r="F132" s="476">
        <f>SUM('Non-personnel'!N20:O20)</f>
        <v>0</v>
      </c>
      <c r="G132" s="476">
        <f>SUM('Non-personnel'!P20:Q20)</f>
        <v>0</v>
      </c>
      <c r="H132" s="476">
        <f>SUM(C132:G132)</f>
        <v>0</v>
      </c>
    </row>
    <row r="133" spans="1:8" s="528" customFormat="1" ht="14.45" customHeight="1" thickBot="1" x14ac:dyDescent="0.3">
      <c r="A133" s="817" t="s">
        <v>167</v>
      </c>
      <c r="B133" s="818"/>
      <c r="C133" s="501">
        <f>SUM('Non-personnel'!H21:I21)</f>
        <v>0</v>
      </c>
      <c r="D133" s="501">
        <f>SUM('Non-personnel'!J21:K21)</f>
        <v>0</v>
      </c>
      <c r="E133" s="501">
        <f>SUM('Non-personnel'!L21:M21)</f>
        <v>0</v>
      </c>
      <c r="F133" s="501">
        <f>SUM('Non-personnel'!N21:O21)</f>
        <v>0</v>
      </c>
      <c r="G133" s="501">
        <f>SUM('Non-personnel'!P21:Q21)</f>
        <v>0</v>
      </c>
      <c r="H133" s="491">
        <f>SUM(C133:G133)</f>
        <v>0</v>
      </c>
    </row>
    <row r="134" spans="1:8" ht="13.5" thickTop="1" x14ac:dyDescent="0.2">
      <c r="A134" s="113"/>
      <c r="B134" s="115"/>
      <c r="C134" s="115"/>
      <c r="D134" s="115"/>
      <c r="E134" s="115"/>
      <c r="F134" s="115"/>
      <c r="G134" s="115"/>
      <c r="H134" s="115"/>
    </row>
    <row r="135" spans="1:8" s="528" customFormat="1" ht="14.45" customHeight="1" x14ac:dyDescent="0.25">
      <c r="A135" s="819" t="s">
        <v>169</v>
      </c>
      <c r="B135" s="833"/>
      <c r="C135" s="492" t="s">
        <v>35</v>
      </c>
      <c r="D135" s="492" t="s">
        <v>36</v>
      </c>
      <c r="E135" s="492" t="s">
        <v>37</v>
      </c>
      <c r="F135" s="492" t="s">
        <v>38</v>
      </c>
      <c r="G135" s="492" t="s">
        <v>39</v>
      </c>
      <c r="H135" s="492" t="s">
        <v>40</v>
      </c>
    </row>
    <row r="136" spans="1:8" s="528" customFormat="1" ht="12.95" customHeight="1" x14ac:dyDescent="0.2">
      <c r="A136" s="809" t="s">
        <v>203</v>
      </c>
      <c r="B136" s="810"/>
      <c r="C136" s="476">
        <f>'Non-personnel'!H25</f>
        <v>0</v>
      </c>
      <c r="D136" s="476">
        <f>'Non-personnel'!J25</f>
        <v>0</v>
      </c>
      <c r="E136" s="476">
        <f>'Non-personnel'!L25</f>
        <v>0</v>
      </c>
      <c r="F136" s="476">
        <f>'Non-personnel'!N25</f>
        <v>0</v>
      </c>
      <c r="G136" s="476">
        <f>'Non-personnel'!P25</f>
        <v>0</v>
      </c>
      <c r="H136" s="476">
        <f>SUM(C136:G136)</f>
        <v>0</v>
      </c>
    </row>
    <row r="137" spans="1:8" s="528" customFormat="1" ht="12.95" customHeight="1" x14ac:dyDescent="0.2">
      <c r="A137" s="811" t="s">
        <v>204</v>
      </c>
      <c r="B137" s="812"/>
      <c r="C137" s="495">
        <f>'Non-personnel'!H26</f>
        <v>0</v>
      </c>
      <c r="D137" s="495">
        <f>'Non-personnel'!J26</f>
        <v>0</v>
      </c>
      <c r="E137" s="495">
        <f>'Non-personnel'!L26</f>
        <v>0</v>
      </c>
      <c r="F137" s="495">
        <f>'Non-personnel'!N26</f>
        <v>0</v>
      </c>
      <c r="G137" s="495">
        <f>'Non-personnel'!P26</f>
        <v>0</v>
      </c>
      <c r="H137" s="495">
        <f>SUM(C137:G137)</f>
        <v>0</v>
      </c>
    </row>
    <row r="138" spans="1:8" s="528" customFormat="1" ht="12.95" customHeight="1" x14ac:dyDescent="0.2">
      <c r="A138" s="809" t="s">
        <v>205</v>
      </c>
      <c r="B138" s="810"/>
      <c r="C138" s="495">
        <f>'Non-personnel'!H27</f>
        <v>0</v>
      </c>
      <c r="D138" s="476">
        <f>'Non-personnel'!J27</f>
        <v>0</v>
      </c>
      <c r="E138" s="476">
        <f>'Non-personnel'!L27</f>
        <v>0</v>
      </c>
      <c r="F138" s="476">
        <f>'Non-personnel'!N27</f>
        <v>0</v>
      </c>
      <c r="G138" s="476">
        <f>'Non-personnel'!P27</f>
        <v>0</v>
      </c>
      <c r="H138" s="476">
        <f>SUM(C138:G138)</f>
        <v>0</v>
      </c>
    </row>
    <row r="139" spans="1:8" s="528" customFormat="1" ht="12.95" customHeight="1" x14ac:dyDescent="0.2">
      <c r="A139" s="809" t="s">
        <v>206</v>
      </c>
      <c r="B139" s="810"/>
      <c r="C139" s="476">
        <f>'Non-personnel'!H28</f>
        <v>0</v>
      </c>
      <c r="D139" s="476">
        <f>'Non-personnel'!J28</f>
        <v>0</v>
      </c>
      <c r="E139" s="476">
        <f>'Non-personnel'!L28</f>
        <v>0</v>
      </c>
      <c r="F139" s="476">
        <f>'Non-personnel'!N28</f>
        <v>0</v>
      </c>
      <c r="G139" s="476">
        <f>'Non-personnel'!P28</f>
        <v>0</v>
      </c>
      <c r="H139" s="476">
        <f>SUM(C139:G139)</f>
        <v>0</v>
      </c>
    </row>
    <row r="140" spans="1:8" s="528" customFormat="1" ht="14.45" customHeight="1" thickBot="1" x14ac:dyDescent="0.3">
      <c r="A140" s="817" t="s">
        <v>173</v>
      </c>
      <c r="B140" s="818"/>
      <c r="C140" s="501">
        <f>'Non-personnel'!H29</f>
        <v>0</v>
      </c>
      <c r="D140" s="501">
        <f>'Non-personnel'!J29</f>
        <v>0</v>
      </c>
      <c r="E140" s="501">
        <f>'Non-personnel'!L29</f>
        <v>0</v>
      </c>
      <c r="F140" s="501">
        <f>'Non-personnel'!N29</f>
        <v>0</v>
      </c>
      <c r="G140" s="501">
        <f>'Non-personnel'!P29</f>
        <v>0</v>
      </c>
      <c r="H140" s="491">
        <f>SUM(C140:G140)</f>
        <v>0</v>
      </c>
    </row>
    <row r="141" spans="1:8" ht="13.5" thickTop="1" x14ac:dyDescent="0.2">
      <c r="A141" s="78"/>
      <c r="B141" s="78"/>
      <c r="C141" s="116"/>
      <c r="D141" s="116"/>
      <c r="E141" s="116"/>
      <c r="F141" s="116"/>
      <c r="G141" s="116"/>
      <c r="H141" s="112"/>
    </row>
    <row r="142" spans="1:8" s="528" customFormat="1" ht="14.45" customHeight="1" x14ac:dyDescent="0.25">
      <c r="A142" s="819" t="s">
        <v>174</v>
      </c>
      <c r="B142" s="833"/>
      <c r="C142" s="492" t="s">
        <v>35</v>
      </c>
      <c r="D142" s="492" t="s">
        <v>36</v>
      </c>
      <c r="E142" s="492" t="s">
        <v>37</v>
      </c>
      <c r="F142" s="492" t="s">
        <v>38</v>
      </c>
      <c r="G142" s="492" t="s">
        <v>39</v>
      </c>
      <c r="H142" s="493" t="s">
        <v>40</v>
      </c>
    </row>
    <row r="143" spans="1:8" s="528" customFormat="1" ht="12.95" customHeight="1" x14ac:dyDescent="0.2">
      <c r="A143" s="801" t="s">
        <v>207</v>
      </c>
      <c r="B143" s="802"/>
      <c r="C143" s="476">
        <f>'Non-personnel'!H34</f>
        <v>0</v>
      </c>
      <c r="D143" s="476">
        <f>'Non-personnel'!J34</f>
        <v>0</v>
      </c>
      <c r="E143" s="476">
        <f>'Non-personnel'!L34</f>
        <v>0</v>
      </c>
      <c r="F143" s="476">
        <f>'Non-personnel'!N34</f>
        <v>0</v>
      </c>
      <c r="G143" s="476">
        <f>'Non-personnel'!P34</f>
        <v>0</v>
      </c>
      <c r="H143" s="476">
        <f>SUM(C143:G143)</f>
        <v>0</v>
      </c>
    </row>
    <row r="144" spans="1:8" s="528" customFormat="1" ht="12.95" customHeight="1" x14ac:dyDescent="0.2">
      <c r="A144" s="801" t="s">
        <v>208</v>
      </c>
      <c r="B144" s="802"/>
      <c r="C144" s="476">
        <f>'Non-personnel'!H36</f>
        <v>0</v>
      </c>
      <c r="D144" s="476">
        <f>'Non-personnel'!J36</f>
        <v>0</v>
      </c>
      <c r="E144" s="476">
        <f>'Non-personnel'!L36</f>
        <v>0</v>
      </c>
      <c r="F144" s="476">
        <f>'Non-personnel'!N36</f>
        <v>0</v>
      </c>
      <c r="G144" s="476">
        <f>'Non-personnel'!P36</f>
        <v>0</v>
      </c>
      <c r="H144" s="476">
        <f>SUM(C144:G144)</f>
        <v>0</v>
      </c>
    </row>
    <row r="145" spans="1:8" s="528" customFormat="1" ht="14.25" hidden="1" x14ac:dyDescent="0.2">
      <c r="A145" s="801" t="s">
        <v>209</v>
      </c>
      <c r="B145" s="802"/>
      <c r="C145" s="495"/>
      <c r="D145" s="495"/>
      <c r="E145" s="495"/>
      <c r="F145" s="495"/>
      <c r="G145" s="495"/>
      <c r="H145" s="495"/>
    </row>
    <row r="146" spans="1:8" s="528" customFormat="1" ht="14.25" hidden="1" x14ac:dyDescent="0.2">
      <c r="A146" s="784" t="s">
        <v>210</v>
      </c>
      <c r="B146" s="785"/>
      <c r="C146" s="476">
        <f>C202</f>
        <v>0</v>
      </c>
      <c r="D146" s="476">
        <f>D202</f>
        <v>0</v>
      </c>
      <c r="E146" s="476">
        <f>E202</f>
        <v>0</v>
      </c>
      <c r="F146" s="476">
        <f>F202</f>
        <v>0</v>
      </c>
      <c r="G146" s="476">
        <f>G202</f>
        <v>0</v>
      </c>
      <c r="H146" s="476">
        <f>SUM(C146:G146)</f>
        <v>0</v>
      </c>
    </row>
    <row r="147" spans="1:8" s="528" customFormat="1" ht="14.25" hidden="1" x14ac:dyDescent="0.2">
      <c r="A147" s="784" t="s">
        <v>211</v>
      </c>
      <c r="B147" s="785"/>
      <c r="C147" s="476">
        <f>C201-C202</f>
        <v>0</v>
      </c>
      <c r="D147" s="476">
        <f>D201-D202</f>
        <v>0</v>
      </c>
      <c r="E147" s="476">
        <f>E201-E202</f>
        <v>0</v>
      </c>
      <c r="F147" s="476">
        <f>F201-F202</f>
        <v>0</v>
      </c>
      <c r="G147" s="476">
        <f>G201-G202</f>
        <v>0</v>
      </c>
      <c r="H147" s="476">
        <f>SUM(C147:G147)</f>
        <v>0</v>
      </c>
    </row>
    <row r="148" spans="1:8" s="528" customFormat="1" ht="12.95" customHeight="1" x14ac:dyDescent="0.2">
      <c r="A148" s="801" t="s">
        <v>518</v>
      </c>
      <c r="B148" s="802"/>
      <c r="C148" s="476">
        <f>'Non-personnel'!H40</f>
        <v>0</v>
      </c>
      <c r="D148" s="476">
        <f>'Non-personnel'!J40</f>
        <v>0</v>
      </c>
      <c r="E148" s="476">
        <f>'Non-personnel'!L40</f>
        <v>0</v>
      </c>
      <c r="F148" s="476">
        <f>'Non-personnel'!N40</f>
        <v>0</v>
      </c>
      <c r="G148" s="476">
        <f>'Non-personnel'!P40</f>
        <v>0</v>
      </c>
      <c r="H148" s="476">
        <f>SUM(C148:G148)</f>
        <v>0</v>
      </c>
    </row>
    <row r="149" spans="1:8" s="528" customFormat="1" ht="12.95" customHeight="1" x14ac:dyDescent="0.2">
      <c r="A149" s="801" t="s">
        <v>519</v>
      </c>
      <c r="B149" s="802"/>
      <c r="C149" s="476"/>
      <c r="D149" s="476"/>
      <c r="E149" s="476"/>
      <c r="F149" s="476"/>
      <c r="G149" s="476"/>
      <c r="H149" s="476"/>
    </row>
    <row r="150" spans="1:8" s="528" customFormat="1" ht="12.95" customHeight="1" x14ac:dyDescent="0.2">
      <c r="A150" s="784" t="s">
        <v>212</v>
      </c>
      <c r="B150" s="785"/>
      <c r="C150" s="476">
        <f>'Non-personnel'!H35</f>
        <v>0</v>
      </c>
      <c r="D150" s="476">
        <f>'Non-personnel'!J35</f>
        <v>0</v>
      </c>
      <c r="E150" s="476">
        <f>'Non-personnel'!L35</f>
        <v>0</v>
      </c>
      <c r="F150" s="476">
        <f>'Non-personnel'!N35</f>
        <v>0</v>
      </c>
      <c r="G150" s="476">
        <f>'Non-personnel'!P35</f>
        <v>0</v>
      </c>
      <c r="H150" s="476">
        <f t="shared" ref="H150:H163" si="7">SUM(C150:G150)</f>
        <v>0</v>
      </c>
    </row>
    <row r="151" spans="1:8" s="528" customFormat="1" ht="12.95" customHeight="1" x14ac:dyDescent="0.2">
      <c r="A151" s="799" t="s">
        <v>213</v>
      </c>
      <c r="B151" s="800"/>
      <c r="C151" s="476">
        <f>'Non-personnel'!H37</f>
        <v>0</v>
      </c>
      <c r="D151" s="476">
        <f>'Non-personnel'!J37</f>
        <v>0</v>
      </c>
      <c r="E151" s="476">
        <f>'Non-personnel'!L37</f>
        <v>0</v>
      </c>
      <c r="F151" s="476">
        <f>'Non-personnel'!N37</f>
        <v>0</v>
      </c>
      <c r="G151" s="476">
        <f>'Non-personnel'!P37</f>
        <v>0</v>
      </c>
      <c r="H151" s="476">
        <f t="shared" si="7"/>
        <v>0</v>
      </c>
    </row>
    <row r="152" spans="1:8" s="528" customFormat="1" ht="12.95" customHeight="1" x14ac:dyDescent="0.2">
      <c r="A152" s="784" t="s">
        <v>406</v>
      </c>
      <c r="B152" s="785"/>
      <c r="C152" s="476">
        <f>'Non-personnel'!H39</f>
        <v>0</v>
      </c>
      <c r="D152" s="476">
        <f>'Non-personnel'!J39</f>
        <v>0</v>
      </c>
      <c r="E152" s="476">
        <f>'Non-personnel'!L39</f>
        <v>0</v>
      </c>
      <c r="F152" s="476">
        <f>'Non-personnel'!N39</f>
        <v>0</v>
      </c>
      <c r="G152" s="476">
        <f>'Non-personnel'!P39</f>
        <v>0</v>
      </c>
      <c r="H152" s="476">
        <f t="shared" si="7"/>
        <v>0</v>
      </c>
    </row>
    <row r="153" spans="1:8" s="528" customFormat="1" ht="14.25" hidden="1" x14ac:dyDescent="0.2">
      <c r="A153" s="797" t="s">
        <v>433</v>
      </c>
      <c r="B153" s="798"/>
      <c r="C153" s="495">
        <f>'Non-personnel'!H41</f>
        <v>0</v>
      </c>
      <c r="D153" s="495">
        <f>'Non-personnel'!J41</f>
        <v>0</v>
      </c>
      <c r="E153" s="495">
        <f>'Non-personnel'!L41</f>
        <v>0</v>
      </c>
      <c r="F153" s="495">
        <f>'Non-personnel'!N41</f>
        <v>0</v>
      </c>
      <c r="G153" s="495">
        <f>'Non-personnel'!P41</f>
        <v>0</v>
      </c>
      <c r="H153" s="495">
        <f>SUM(C153:G153)</f>
        <v>0</v>
      </c>
    </row>
    <row r="154" spans="1:8" s="528" customFormat="1" ht="14.25" hidden="1" x14ac:dyDescent="0.2">
      <c r="A154" s="797" t="s">
        <v>427</v>
      </c>
      <c r="B154" s="798"/>
      <c r="C154" s="495">
        <f>'Non-personnel'!H42</f>
        <v>0</v>
      </c>
      <c r="D154" s="495">
        <f>'Non-personnel'!J42</f>
        <v>0</v>
      </c>
      <c r="E154" s="495">
        <f>'Non-personnel'!L42</f>
        <v>0</v>
      </c>
      <c r="F154" s="495">
        <f>'Non-personnel'!N42</f>
        <v>0</v>
      </c>
      <c r="G154" s="495">
        <f>'Non-personnel'!P42</f>
        <v>0</v>
      </c>
      <c r="H154" s="495">
        <f t="shared" ref="H154:H155" si="8">SUM(C154:G154)</f>
        <v>0</v>
      </c>
    </row>
    <row r="155" spans="1:8" s="528" customFormat="1" ht="12.95" customHeight="1" x14ac:dyDescent="0.2">
      <c r="A155" s="797" t="s">
        <v>521</v>
      </c>
      <c r="B155" s="798"/>
      <c r="C155" s="495">
        <f>'Non-personnel'!H43</f>
        <v>0</v>
      </c>
      <c r="D155" s="495">
        <f>'Non-personnel'!J43</f>
        <v>0</v>
      </c>
      <c r="E155" s="495">
        <f>'Non-personnel'!L43</f>
        <v>0</v>
      </c>
      <c r="F155" s="495">
        <f>'Non-personnel'!N43</f>
        <v>0</v>
      </c>
      <c r="G155" s="495">
        <f>'Non-personnel'!P43</f>
        <v>0</v>
      </c>
      <c r="H155" s="495">
        <f t="shared" si="8"/>
        <v>0</v>
      </c>
    </row>
    <row r="156" spans="1:8" s="528" customFormat="1" ht="12.95" customHeight="1" x14ac:dyDescent="0.2">
      <c r="A156" s="784" t="str">
        <f>"e) " &amp; 'Non-personnel'!B44</f>
        <v>e) Other - Describe</v>
      </c>
      <c r="B156" s="785"/>
      <c r="C156" s="476">
        <f>'Non-personnel'!H44</f>
        <v>0</v>
      </c>
      <c r="D156" s="476">
        <f>'Non-personnel'!J44</f>
        <v>0</v>
      </c>
      <c r="E156" s="476">
        <f>'Non-personnel'!L44</f>
        <v>0</v>
      </c>
      <c r="F156" s="476">
        <f>'Non-personnel'!N44</f>
        <v>0</v>
      </c>
      <c r="G156" s="476">
        <f>'Non-personnel'!P44</f>
        <v>0</v>
      </c>
      <c r="H156" s="476">
        <f>SUM(C156:G156)</f>
        <v>0</v>
      </c>
    </row>
    <row r="157" spans="1:8" s="528" customFormat="1" ht="12.95" customHeight="1" x14ac:dyDescent="0.2">
      <c r="A157" s="784" t="str">
        <f>"f)  " &amp; 'Non-personnel'!B45</f>
        <v>f)  Other - Describe</v>
      </c>
      <c r="B157" s="785"/>
      <c r="C157" s="476">
        <f>'Non-personnel'!H45</f>
        <v>0</v>
      </c>
      <c r="D157" s="476">
        <f>'Non-personnel'!J45</f>
        <v>0</v>
      </c>
      <c r="E157" s="476">
        <f>'Non-personnel'!L45</f>
        <v>0</v>
      </c>
      <c r="F157" s="476">
        <f>'Non-personnel'!N45</f>
        <v>0</v>
      </c>
      <c r="G157" s="476">
        <f>'Non-personnel'!P45</f>
        <v>0</v>
      </c>
      <c r="H157" s="476">
        <f t="shared" ref="H157" si="9">SUM(C157:G157)</f>
        <v>0</v>
      </c>
    </row>
    <row r="158" spans="1:8" s="528" customFormat="1" ht="12.95" customHeight="1" x14ac:dyDescent="0.2">
      <c r="A158" s="784" t="str">
        <f>"g) " &amp; 'Non-personnel'!B46</f>
        <v>g) Other - Describe</v>
      </c>
      <c r="B158" s="785"/>
      <c r="C158" s="476">
        <f>'Non-personnel'!H46</f>
        <v>0</v>
      </c>
      <c r="D158" s="476">
        <f>'Non-personnel'!J46</f>
        <v>0</v>
      </c>
      <c r="E158" s="476">
        <f>'Non-personnel'!L46</f>
        <v>0</v>
      </c>
      <c r="F158" s="476">
        <f>'Non-personnel'!N46</f>
        <v>0</v>
      </c>
      <c r="G158" s="476">
        <f>'Non-personnel'!P46</f>
        <v>0</v>
      </c>
      <c r="H158" s="476">
        <f>SUM(C158:G158)</f>
        <v>0</v>
      </c>
    </row>
    <row r="159" spans="1:8" s="528" customFormat="1" ht="12.95" customHeight="1" x14ac:dyDescent="0.2">
      <c r="A159" s="784" t="str">
        <f>"h) " &amp; 'Non-personnel'!B47</f>
        <v>h) Other - Describe</v>
      </c>
      <c r="B159" s="785"/>
      <c r="C159" s="476">
        <f>'Non-personnel'!H47</f>
        <v>0</v>
      </c>
      <c r="D159" s="476">
        <f>'Non-personnel'!J47</f>
        <v>0</v>
      </c>
      <c r="E159" s="476">
        <f>'Non-personnel'!L47</f>
        <v>0</v>
      </c>
      <c r="F159" s="476">
        <f>'Non-personnel'!N47</f>
        <v>0</v>
      </c>
      <c r="G159" s="476">
        <f>'Non-personnel'!P47</f>
        <v>0</v>
      </c>
      <c r="H159" s="476">
        <f t="shared" si="7"/>
        <v>0</v>
      </c>
    </row>
    <row r="160" spans="1:8" s="528" customFormat="1" ht="14.45" customHeight="1" x14ac:dyDescent="0.25">
      <c r="A160" s="792"/>
      <c r="B160" s="793"/>
      <c r="C160" s="490">
        <f>SUM(C156,C157,C158,C159)</f>
        <v>0</v>
      </c>
      <c r="D160" s="490">
        <f t="shared" ref="D160:G160" si="10">SUM(D156,D157,D158,D159)</f>
        <v>0</v>
      </c>
      <c r="E160" s="490">
        <f t="shared" si="10"/>
        <v>0</v>
      </c>
      <c r="F160" s="490">
        <f t="shared" si="10"/>
        <v>0</v>
      </c>
      <c r="G160" s="490">
        <f t="shared" si="10"/>
        <v>0</v>
      </c>
      <c r="H160" s="490">
        <f t="shared" si="7"/>
        <v>0</v>
      </c>
    </row>
    <row r="161" spans="1:14" s="528" customFormat="1" ht="15" hidden="1" x14ac:dyDescent="0.25">
      <c r="A161" s="805" t="s">
        <v>186</v>
      </c>
      <c r="B161" s="807"/>
      <c r="C161" s="502">
        <f>SUM(C143,C144,C146,C150,C151,C155,C156,C157,C158,C159)</f>
        <v>0</v>
      </c>
      <c r="D161" s="502">
        <f>SUM(D143,D144,D146,D150,D151,D155,D156,D157,D158,D159)</f>
        <v>0</v>
      </c>
      <c r="E161" s="502">
        <f>SUM(E143,E144,E146,E150,E151,E155,E156,E157,E158,E159)</f>
        <v>0</v>
      </c>
      <c r="F161" s="502">
        <f>SUM(F143,F144,F146,F150,F151,F155,F156,F157,F158,F159)</f>
        <v>0</v>
      </c>
      <c r="G161" s="502">
        <f>SUM(G143,G144,G146,G150,G151,G155,G156,G157,G158,G159)</f>
        <v>0</v>
      </c>
      <c r="H161" s="490">
        <f t="shared" si="7"/>
        <v>0</v>
      </c>
    </row>
    <row r="162" spans="1:14" s="528" customFormat="1" ht="15" hidden="1" x14ac:dyDescent="0.25">
      <c r="A162" s="805" t="s">
        <v>187</v>
      </c>
      <c r="B162" s="806"/>
      <c r="C162" s="502">
        <f>SUM(C147,C148,C152,C153,C154)</f>
        <v>0</v>
      </c>
      <c r="D162" s="502">
        <f t="shared" ref="D162:G162" si="11">SUM(D147,D148,D152,D153,D154)</f>
        <v>0</v>
      </c>
      <c r="E162" s="502">
        <f t="shared" si="11"/>
        <v>0</v>
      </c>
      <c r="F162" s="502">
        <f t="shared" si="11"/>
        <v>0</v>
      </c>
      <c r="G162" s="502">
        <f t="shared" si="11"/>
        <v>0</v>
      </c>
      <c r="H162" s="490">
        <f t="shared" si="7"/>
        <v>0</v>
      </c>
    </row>
    <row r="163" spans="1:14" s="528" customFormat="1" ht="14.45" customHeight="1" thickBot="1" x14ac:dyDescent="0.3">
      <c r="A163" s="843" t="s">
        <v>188</v>
      </c>
      <c r="B163" s="844"/>
      <c r="C163" s="501">
        <f>SUM(C161:C162)</f>
        <v>0</v>
      </c>
      <c r="D163" s="501">
        <f>SUM(D161:D162)</f>
        <v>0</v>
      </c>
      <c r="E163" s="501">
        <f>SUM(E161:E162)</f>
        <v>0</v>
      </c>
      <c r="F163" s="501">
        <f>SUM(F161:F162)</f>
        <v>0</v>
      </c>
      <c r="G163" s="501">
        <f>SUM(G161:G162)</f>
        <v>0</v>
      </c>
      <c r="H163" s="491">
        <f t="shared" si="7"/>
        <v>0</v>
      </c>
    </row>
    <row r="164" spans="1:14" s="528" customFormat="1" ht="15" thickTop="1" x14ac:dyDescent="0.2">
      <c r="A164" s="503"/>
      <c r="B164" s="504"/>
      <c r="C164" s="504"/>
      <c r="D164" s="504"/>
      <c r="E164" s="504"/>
      <c r="F164" s="504"/>
      <c r="G164" s="504"/>
      <c r="H164" s="504"/>
    </row>
    <row r="165" spans="1:14" s="528" customFormat="1" ht="15" hidden="1" x14ac:dyDescent="0.25">
      <c r="A165" s="803" t="s">
        <v>189</v>
      </c>
      <c r="B165" s="804"/>
      <c r="C165" s="492"/>
      <c r="D165" s="492"/>
      <c r="E165" s="492"/>
      <c r="F165" s="492"/>
      <c r="G165" s="492"/>
      <c r="H165" s="492"/>
    </row>
    <row r="166" spans="1:14" s="528" customFormat="1" ht="15" hidden="1" x14ac:dyDescent="0.25">
      <c r="A166" s="505"/>
      <c r="B166" s="506"/>
      <c r="C166" s="492" t="s">
        <v>35</v>
      </c>
      <c r="D166" s="492" t="s">
        <v>36</v>
      </c>
      <c r="E166" s="492" t="s">
        <v>37</v>
      </c>
      <c r="F166" s="492" t="s">
        <v>38</v>
      </c>
      <c r="G166" s="492" t="s">
        <v>39</v>
      </c>
      <c r="H166" s="493" t="s">
        <v>40</v>
      </c>
      <c r="K166" s="533"/>
      <c r="N166" s="534"/>
    </row>
    <row r="167" spans="1:14" s="528" customFormat="1" ht="15" hidden="1" x14ac:dyDescent="0.25">
      <c r="A167" s="507" t="str">
        <f>'Non-personnel'!B57</f>
        <v>MTDC-NonFed</v>
      </c>
      <c r="B167" s="508" t="s">
        <v>190</v>
      </c>
      <c r="C167" s="509">
        <f>IF(AND('Non-personnel'!F57&lt;&gt;"",NOT(ISBLANK('Non-personnel'!F57))),IFERROR(LOOKUP('Non-personnel'!C57,IDCDesc,IDCRate),'Non-personnel'!C57),"")</f>
        <v>0</v>
      </c>
      <c r="D167" s="509" t="str">
        <f>IF(AND('Non-personnel'!F58&lt;&gt;"",NOT(ISBLANK('Non-personnel'!F58))),IFERROR(LOOKUP('Non-personnel'!C58,IDCDesc2,IDCRate2),'Non-personnel'!C58),"")</f>
        <v/>
      </c>
      <c r="E167" s="509" t="str">
        <f>IF(AND('Non-personnel'!F59&lt;&gt;"",NOT(ISBLANK('Non-personnel'!F59))),IFERROR(LOOKUP('Non-personnel'!C59,IDCDesc2,IDCRate2),'Non-personnel'!C59),"")</f>
        <v/>
      </c>
      <c r="F167" s="509" t="str">
        <f>IF(AND('Non-personnel'!F60&lt;&gt;"",NOT(ISBLANK('Non-personnel'!F60))),IFERROR(LOOKUP('Non-personnel'!C60,IDCDesc2,IDCRate2),'Non-personnel'!C60),"")</f>
        <v/>
      </c>
      <c r="G167" s="509" t="str">
        <f>IF(AND('Non-personnel'!F61&lt;&gt;"",NOT(ISBLANK('Non-personnel'!F61))),IFERROR(LOOKUP('Non-personnel'!C61,IDCDesc2,IDCRate2),'Non-personnel'!C61),"")</f>
        <v/>
      </c>
      <c r="H167" s="510"/>
    </row>
    <row r="168" spans="1:14" s="528" customFormat="1" ht="14.25" hidden="1" x14ac:dyDescent="0.2">
      <c r="A168" s="834" t="s">
        <v>191</v>
      </c>
      <c r="B168" s="835"/>
      <c r="C168" s="511">
        <f>SUM('Non-personnel'!F57)</f>
        <v>0</v>
      </c>
      <c r="D168" s="511">
        <f>SUM('Non-personnel'!F58)</f>
        <v>0</v>
      </c>
      <c r="E168" s="511">
        <f>SUM('Non-personnel'!F59)</f>
        <v>0</v>
      </c>
      <c r="F168" s="511">
        <f>SUM('Non-personnel'!F60)</f>
        <v>0</v>
      </c>
      <c r="G168" s="511">
        <f>SUM('Non-personnel'!F61)</f>
        <v>0</v>
      </c>
      <c r="H168" s="512">
        <f>SUM(C168:G168)</f>
        <v>0</v>
      </c>
    </row>
    <row r="169" spans="1:14" s="528" customFormat="1" ht="15" hidden="1" thickBot="1" x14ac:dyDescent="0.25">
      <c r="A169" s="788" t="s">
        <v>192</v>
      </c>
      <c r="B169" s="789"/>
      <c r="C169" s="513">
        <f>C171-C168</f>
        <v>0</v>
      </c>
      <c r="D169" s="513">
        <f>D171-D168</f>
        <v>0</v>
      </c>
      <c r="E169" s="513">
        <f>E171-E168</f>
        <v>0</v>
      </c>
      <c r="F169" s="513">
        <f>F171-F168</f>
        <v>0</v>
      </c>
      <c r="G169" s="513">
        <f>G171-G168</f>
        <v>0</v>
      </c>
      <c r="H169" s="514">
        <f>SUM(C169:G169)</f>
        <v>0</v>
      </c>
      <c r="I169" s="522"/>
    </row>
    <row r="170" spans="1:14" s="528" customFormat="1" ht="15" hidden="1" thickTop="1" x14ac:dyDescent="0.2">
      <c r="A170" s="515"/>
      <c r="B170" s="515"/>
      <c r="C170" s="515"/>
      <c r="D170" s="515"/>
      <c r="E170" s="515"/>
      <c r="F170" s="515"/>
      <c r="G170" s="515"/>
      <c r="H170" s="515"/>
    </row>
    <row r="171" spans="1:14" s="528" customFormat="1" ht="15.75" hidden="1" thickBot="1" x14ac:dyDescent="0.3">
      <c r="A171" s="817" t="s">
        <v>193</v>
      </c>
      <c r="B171" s="818"/>
      <c r="C171" s="501">
        <f>'Non-personnel'!H52</f>
        <v>0</v>
      </c>
      <c r="D171" s="501">
        <f>'Non-personnel'!J52</f>
        <v>0</v>
      </c>
      <c r="E171" s="501">
        <f>'Non-personnel'!L52</f>
        <v>0</v>
      </c>
      <c r="F171" s="501">
        <f>'Non-personnel'!N52</f>
        <v>0</v>
      </c>
      <c r="G171" s="501">
        <f>'Non-personnel'!P52</f>
        <v>0</v>
      </c>
      <c r="H171" s="491">
        <f>SUM(C171:G171)</f>
        <v>0</v>
      </c>
    </row>
    <row r="172" spans="1:14" s="528" customFormat="1" ht="15" hidden="1" thickTop="1" x14ac:dyDescent="0.2">
      <c r="A172" s="516"/>
      <c r="B172" s="517"/>
      <c r="C172" s="518"/>
      <c r="D172" s="519"/>
      <c r="E172" s="518"/>
      <c r="F172" s="518"/>
      <c r="G172" s="518"/>
      <c r="H172" s="518"/>
    </row>
    <row r="173" spans="1:14" s="528" customFormat="1" ht="15.75" hidden="1" thickBot="1" x14ac:dyDescent="0.3">
      <c r="A173" s="836" t="s">
        <v>194</v>
      </c>
      <c r="B173" s="837"/>
      <c r="C173" s="520">
        <f>'Non-personnel'!H62</f>
        <v>0</v>
      </c>
      <c r="D173" s="520">
        <f>'Non-personnel'!J62</f>
        <v>0</v>
      </c>
      <c r="E173" s="520">
        <f>'Non-personnel'!L62</f>
        <v>0</v>
      </c>
      <c r="F173" s="520">
        <f>'Non-personnel'!N62</f>
        <v>0</v>
      </c>
      <c r="G173" s="520">
        <f>'Non-personnel'!P62</f>
        <v>0</v>
      </c>
      <c r="H173" s="521">
        <f>SUM(C173:G173)</f>
        <v>0</v>
      </c>
    </row>
    <row r="174" spans="1:14" s="528" customFormat="1" ht="15" hidden="1" thickTop="1" x14ac:dyDescent="0.2">
      <c r="A174" s="522"/>
      <c r="B174" s="523"/>
      <c r="C174" s="518"/>
      <c r="D174" s="519"/>
      <c r="E174" s="518"/>
      <c r="F174" s="518"/>
      <c r="G174" s="518"/>
      <c r="H174" s="518"/>
    </row>
    <row r="175" spans="1:14" s="528" customFormat="1" ht="15.75" hidden="1" thickBot="1" x14ac:dyDescent="0.3">
      <c r="A175" s="817" t="s">
        <v>196</v>
      </c>
      <c r="B175" s="818"/>
      <c r="C175" s="501">
        <f>'Non-personnel'!H66</f>
        <v>0</v>
      </c>
      <c r="D175" s="501">
        <f>'Non-personnel'!J66</f>
        <v>0</v>
      </c>
      <c r="E175" s="501">
        <f>'Non-personnel'!L66</f>
        <v>0</v>
      </c>
      <c r="F175" s="501">
        <f>'Non-personnel'!N66</f>
        <v>0</v>
      </c>
      <c r="G175" s="501">
        <f>'Non-personnel'!P66</f>
        <v>0</v>
      </c>
      <c r="H175" s="491">
        <f>SUM(C175:G175)</f>
        <v>0</v>
      </c>
    </row>
    <row r="176" spans="1:14" s="528" customFormat="1" ht="15" hidden="1" thickBot="1" x14ac:dyDescent="0.25">
      <c r="A176" s="838" t="s">
        <v>197</v>
      </c>
      <c r="B176" s="839"/>
      <c r="C176" s="524">
        <v>0</v>
      </c>
      <c r="D176" s="524">
        <v>0</v>
      </c>
      <c r="E176" s="524">
        <v>0</v>
      </c>
      <c r="F176" s="524">
        <v>0</v>
      </c>
      <c r="G176" s="524">
        <v>0</v>
      </c>
      <c r="H176" s="524">
        <f>SUM(C176:G176)</f>
        <v>0</v>
      </c>
    </row>
    <row r="177" spans="1:8" s="528" customFormat="1" ht="15" hidden="1" thickTop="1" x14ac:dyDescent="0.2">
      <c r="A177" s="525"/>
      <c r="B177" s="526"/>
      <c r="C177" s="527"/>
      <c r="D177" s="527"/>
      <c r="E177" s="527"/>
      <c r="F177" s="527"/>
      <c r="G177" s="527"/>
      <c r="H177" s="527"/>
    </row>
    <row r="178" spans="1:8" s="528" customFormat="1" ht="14.45" customHeight="1" thickBot="1" x14ac:dyDescent="0.3">
      <c r="A178" s="840" t="s">
        <v>520</v>
      </c>
      <c r="B178" s="841"/>
      <c r="C178" s="501">
        <f>C175</f>
        <v>0</v>
      </c>
      <c r="D178" s="501">
        <f>D175</f>
        <v>0</v>
      </c>
      <c r="E178" s="501">
        <f>E175</f>
        <v>0</v>
      </c>
      <c r="F178" s="501">
        <f>F175</f>
        <v>0</v>
      </c>
      <c r="G178" s="501">
        <f>G175</f>
        <v>0</v>
      </c>
      <c r="H178" s="491">
        <f>SUM(C178:G178)</f>
        <v>0</v>
      </c>
    </row>
    <row r="179" spans="1:8" ht="13.5" hidden="1" thickTop="1" x14ac:dyDescent="0.2">
      <c r="A179" s="117"/>
      <c r="B179" s="117"/>
      <c r="C179" s="117"/>
      <c r="D179" s="117"/>
      <c r="E179" s="117"/>
      <c r="F179" s="117"/>
      <c r="G179" s="117"/>
      <c r="H179" s="117"/>
    </row>
    <row r="180" spans="1:8" ht="16.5" hidden="1" thickTop="1" x14ac:dyDescent="0.25">
      <c r="A180" s="842" t="s">
        <v>198</v>
      </c>
      <c r="B180" s="842"/>
      <c r="C180" s="83" t="s">
        <v>35</v>
      </c>
      <c r="D180" s="83" t="s">
        <v>36</v>
      </c>
      <c r="E180" s="83" t="s">
        <v>37</v>
      </c>
      <c r="F180" s="83" t="s">
        <v>38</v>
      </c>
      <c r="G180" s="83" t="s">
        <v>39</v>
      </c>
      <c r="H180" s="83" t="s">
        <v>40</v>
      </c>
    </row>
    <row r="181" spans="1:8" ht="13.5" hidden="1" thickTop="1" x14ac:dyDescent="0.2">
      <c r="A181" s="790" t="str">
        <f>IF(ISBLANK('Non-personnel'!B70),"",'Non-personnel'!B70)</f>
        <v/>
      </c>
      <c r="B181" s="118" t="s">
        <v>40</v>
      </c>
      <c r="C181" s="130">
        <f>SUM('Non-personnel'!H70,'Non-personnel'!I70)</f>
        <v>0</v>
      </c>
      <c r="D181" s="130">
        <f>SUM('Non-personnel'!J70,'Non-personnel'!K70)</f>
        <v>0</v>
      </c>
      <c r="E181" s="130">
        <f>SUM('Non-personnel'!L70,'Non-personnel'!M70)</f>
        <v>0</v>
      </c>
      <c r="F181" s="130">
        <f>SUM('Non-personnel'!N70,'Non-personnel'!O70)</f>
        <v>0</v>
      </c>
      <c r="G181" s="130">
        <f>SUM('Non-personnel'!P70,'Non-personnel'!Q70)</f>
        <v>0</v>
      </c>
      <c r="H181" s="131">
        <f t="shared" ref="H181:H202" si="12">SUM(C181:G181)</f>
        <v>0</v>
      </c>
    </row>
    <row r="182" spans="1:8" ht="13.5" hidden="1" thickTop="1" x14ac:dyDescent="0.2">
      <c r="A182" s="791"/>
      <c r="B182" s="119" t="s">
        <v>199</v>
      </c>
      <c r="C182" s="130">
        <f>'Non-personnel'!H71</f>
        <v>0</v>
      </c>
      <c r="D182" s="130">
        <f>'Non-personnel'!J71</f>
        <v>0</v>
      </c>
      <c r="E182" s="130">
        <f>'Non-personnel'!L71</f>
        <v>0</v>
      </c>
      <c r="F182" s="130">
        <f>'Non-personnel'!N71</f>
        <v>0</v>
      </c>
      <c r="G182" s="130">
        <f>'Non-personnel'!P71</f>
        <v>0</v>
      </c>
      <c r="H182" s="132">
        <f t="shared" si="12"/>
        <v>0</v>
      </c>
    </row>
    <row r="183" spans="1:8" ht="13.5" hidden="1" thickTop="1" x14ac:dyDescent="0.2">
      <c r="A183" s="790" t="str">
        <f>IF(ISBLANK('Non-personnel'!B72),"",'Non-personnel'!B72)</f>
        <v/>
      </c>
      <c r="B183" s="119" t="s">
        <v>40</v>
      </c>
      <c r="C183" s="130">
        <f>SUM('Non-personnel'!H72,'Non-personnel'!I72)</f>
        <v>0</v>
      </c>
      <c r="D183" s="130">
        <f>SUM('Non-personnel'!J72,'Non-personnel'!K72)</f>
        <v>0</v>
      </c>
      <c r="E183" s="130">
        <f>SUM('Non-personnel'!L72,'Non-personnel'!M72)</f>
        <v>0</v>
      </c>
      <c r="F183" s="130">
        <f>SUM('Non-personnel'!N72,'Non-personnel'!O72)</f>
        <v>0</v>
      </c>
      <c r="G183" s="130">
        <f>SUM('Non-personnel'!P72,'Non-personnel'!Q72)</f>
        <v>0</v>
      </c>
      <c r="H183" s="132">
        <f t="shared" si="12"/>
        <v>0</v>
      </c>
    </row>
    <row r="184" spans="1:8" ht="13.5" hidden="1" thickTop="1" x14ac:dyDescent="0.2">
      <c r="A184" s="791"/>
      <c r="B184" s="119" t="s">
        <v>199</v>
      </c>
      <c r="C184" s="130">
        <f>'Non-personnel'!H73</f>
        <v>0</v>
      </c>
      <c r="D184" s="130">
        <f>'Non-personnel'!J73</f>
        <v>0</v>
      </c>
      <c r="E184" s="130">
        <f>'Non-personnel'!L73</f>
        <v>0</v>
      </c>
      <c r="F184" s="130">
        <f>'Non-personnel'!N73</f>
        <v>0</v>
      </c>
      <c r="G184" s="130">
        <f>'Non-personnel'!P73</f>
        <v>0</v>
      </c>
      <c r="H184" s="132">
        <f t="shared" si="12"/>
        <v>0</v>
      </c>
    </row>
    <row r="185" spans="1:8" ht="13.5" hidden="1" thickTop="1" x14ac:dyDescent="0.2">
      <c r="A185" s="790" t="str">
        <f>IF(ISBLANK('Non-personnel'!B74),"",'Non-personnel'!B74)</f>
        <v/>
      </c>
      <c r="B185" s="120" t="s">
        <v>40</v>
      </c>
      <c r="C185" s="130">
        <f>SUM('Non-personnel'!H74,'Non-personnel'!I74)</f>
        <v>0</v>
      </c>
      <c r="D185" s="130">
        <f>SUM('Non-personnel'!J74,'Non-personnel'!K74)</f>
        <v>0</v>
      </c>
      <c r="E185" s="130">
        <f>SUM('Non-personnel'!L74,'Non-personnel'!M74)</f>
        <v>0</v>
      </c>
      <c r="F185" s="130">
        <f>SUM('Non-personnel'!N74,'Non-personnel'!O74)</f>
        <v>0</v>
      </c>
      <c r="G185" s="130">
        <f>SUM('Non-personnel'!P74,'Non-personnel'!Q74)</f>
        <v>0</v>
      </c>
      <c r="H185" s="132">
        <f t="shared" si="12"/>
        <v>0</v>
      </c>
    </row>
    <row r="186" spans="1:8" ht="13.5" hidden="1" thickTop="1" x14ac:dyDescent="0.2">
      <c r="A186" s="791"/>
      <c r="B186" s="119" t="s">
        <v>199</v>
      </c>
      <c r="C186" s="130">
        <f>'Non-personnel'!H75</f>
        <v>0</v>
      </c>
      <c r="D186" s="130">
        <f>'Non-personnel'!J75</f>
        <v>0</v>
      </c>
      <c r="E186" s="130">
        <f>'Non-personnel'!L75</f>
        <v>0</v>
      </c>
      <c r="F186" s="130">
        <f>'Non-personnel'!N75</f>
        <v>0</v>
      </c>
      <c r="G186" s="130">
        <f>'Non-personnel'!P75</f>
        <v>0</v>
      </c>
      <c r="H186" s="132">
        <f t="shared" si="12"/>
        <v>0</v>
      </c>
    </row>
    <row r="187" spans="1:8" ht="13.5" hidden="1" thickTop="1" x14ac:dyDescent="0.2">
      <c r="A187" s="790" t="str">
        <f>IF(ISBLANK('Non-personnel'!B76),"",'Non-personnel'!B76)</f>
        <v/>
      </c>
      <c r="B187" s="119" t="s">
        <v>40</v>
      </c>
      <c r="C187" s="130">
        <f>SUM('Non-personnel'!H76,'Non-personnel'!I76)</f>
        <v>0</v>
      </c>
      <c r="D187" s="130">
        <f>SUM('Non-personnel'!J76,'Non-personnel'!K76)</f>
        <v>0</v>
      </c>
      <c r="E187" s="130">
        <f>SUM('Non-personnel'!L76,'Non-personnel'!M76)</f>
        <v>0</v>
      </c>
      <c r="F187" s="130">
        <f>SUM('Non-personnel'!N76,'Non-personnel'!O76)</f>
        <v>0</v>
      </c>
      <c r="G187" s="130">
        <f>SUM('Non-personnel'!P76,'Non-personnel'!Q76)</f>
        <v>0</v>
      </c>
      <c r="H187" s="132">
        <f t="shared" si="12"/>
        <v>0</v>
      </c>
    </row>
    <row r="188" spans="1:8" ht="13.5" hidden="1" thickTop="1" x14ac:dyDescent="0.2">
      <c r="A188" s="791"/>
      <c r="B188" s="119" t="s">
        <v>199</v>
      </c>
      <c r="C188" s="130">
        <f>'Non-personnel'!H77</f>
        <v>0</v>
      </c>
      <c r="D188" s="130">
        <f>'Non-personnel'!J77</f>
        <v>0</v>
      </c>
      <c r="E188" s="130">
        <f>'Non-personnel'!L77</f>
        <v>0</v>
      </c>
      <c r="F188" s="130">
        <f>'Non-personnel'!N77</f>
        <v>0</v>
      </c>
      <c r="G188" s="130">
        <f>'Non-personnel'!P77</f>
        <v>0</v>
      </c>
      <c r="H188" s="132">
        <f t="shared" si="12"/>
        <v>0</v>
      </c>
    </row>
    <row r="189" spans="1:8" ht="13.5" hidden="1" thickTop="1" x14ac:dyDescent="0.2">
      <c r="A189" s="790" t="str">
        <f>IF(ISBLANK('Non-personnel'!B78),"",'Non-personnel'!B78)</f>
        <v/>
      </c>
      <c r="B189" s="119" t="s">
        <v>40</v>
      </c>
      <c r="C189" s="130">
        <f>SUM('Non-personnel'!H78,'Non-personnel'!I78)</f>
        <v>0</v>
      </c>
      <c r="D189" s="130">
        <f>SUM('Non-personnel'!J78,'Non-personnel'!K78)</f>
        <v>0</v>
      </c>
      <c r="E189" s="130">
        <f>SUM('Non-personnel'!L78,'Non-personnel'!M78)</f>
        <v>0</v>
      </c>
      <c r="F189" s="130">
        <f>SUM('Non-personnel'!N78,'Non-personnel'!O78)</f>
        <v>0</v>
      </c>
      <c r="G189" s="130">
        <f>SUM('Non-personnel'!P78,'Non-personnel'!Q78)</f>
        <v>0</v>
      </c>
      <c r="H189" s="132">
        <f t="shared" si="12"/>
        <v>0</v>
      </c>
    </row>
    <row r="190" spans="1:8" ht="13.5" hidden="1" thickTop="1" x14ac:dyDescent="0.2">
      <c r="A190" s="791"/>
      <c r="B190" s="119" t="s">
        <v>199</v>
      </c>
      <c r="C190" s="130">
        <f>'Non-personnel'!H79</f>
        <v>0</v>
      </c>
      <c r="D190" s="130">
        <f>'Non-personnel'!J79</f>
        <v>0</v>
      </c>
      <c r="E190" s="130">
        <f>'Non-personnel'!L79</f>
        <v>0</v>
      </c>
      <c r="F190" s="130">
        <f>'Non-personnel'!N79</f>
        <v>0</v>
      </c>
      <c r="G190" s="130">
        <f>'Non-personnel'!P79</f>
        <v>0</v>
      </c>
      <c r="H190" s="133">
        <f t="shared" si="12"/>
        <v>0</v>
      </c>
    </row>
    <row r="191" spans="1:8" ht="13.5" hidden="1" thickTop="1" x14ac:dyDescent="0.2">
      <c r="A191" s="790" t="str">
        <f>IF(ISBLANK('Non-personnel'!B80),"",'Non-personnel'!B80)</f>
        <v/>
      </c>
      <c r="B191" s="119" t="s">
        <v>40</v>
      </c>
      <c r="C191" s="130">
        <f>SUM('Non-personnel'!H80,'Non-personnel'!I80)</f>
        <v>0</v>
      </c>
      <c r="D191" s="130">
        <f>SUM('Non-personnel'!J80,'Non-personnel'!K80)</f>
        <v>0</v>
      </c>
      <c r="E191" s="130">
        <f>SUM('Non-personnel'!L80,'Non-personnel'!M80)</f>
        <v>0</v>
      </c>
      <c r="F191" s="130">
        <f>SUM('Non-personnel'!N80,'Non-personnel'!O80)</f>
        <v>0</v>
      </c>
      <c r="G191" s="130">
        <f>SUM('Non-personnel'!P80,'Non-personnel'!Q80)</f>
        <v>0</v>
      </c>
      <c r="H191" s="133">
        <f t="shared" si="12"/>
        <v>0</v>
      </c>
    </row>
    <row r="192" spans="1:8" ht="13.5" hidden="1" thickTop="1" x14ac:dyDescent="0.2">
      <c r="A192" s="791"/>
      <c r="B192" s="119" t="s">
        <v>199</v>
      </c>
      <c r="C192" s="130">
        <f>'Non-personnel'!H81</f>
        <v>0</v>
      </c>
      <c r="D192" s="130">
        <f>'Non-personnel'!J81</f>
        <v>0</v>
      </c>
      <c r="E192" s="130">
        <f>'Non-personnel'!L81</f>
        <v>0</v>
      </c>
      <c r="F192" s="130">
        <f>'Non-personnel'!N81</f>
        <v>0</v>
      </c>
      <c r="G192" s="130">
        <f>'Non-personnel'!P81</f>
        <v>0</v>
      </c>
      <c r="H192" s="133">
        <f t="shared" si="12"/>
        <v>0</v>
      </c>
    </row>
    <row r="193" spans="1:8" ht="13.5" hidden="1" thickTop="1" x14ac:dyDescent="0.2">
      <c r="A193" s="790" t="str">
        <f>IF(ISBLANK('Non-personnel'!B82),"",'Non-personnel'!B82)</f>
        <v/>
      </c>
      <c r="B193" s="119" t="s">
        <v>40</v>
      </c>
      <c r="C193" s="130">
        <f>SUM('Non-personnel'!H82,'Non-personnel'!I82)</f>
        <v>0</v>
      </c>
      <c r="D193" s="130">
        <f>SUM('Non-personnel'!J82,'Non-personnel'!K82)</f>
        <v>0</v>
      </c>
      <c r="E193" s="130">
        <f>SUM('Non-personnel'!L82,'Non-personnel'!M82)</f>
        <v>0</v>
      </c>
      <c r="F193" s="130">
        <f>SUM('Non-personnel'!N82,'Non-personnel'!O82)</f>
        <v>0</v>
      </c>
      <c r="G193" s="130">
        <f>SUM('Non-personnel'!P82,'Non-personnel'!Q82)</f>
        <v>0</v>
      </c>
      <c r="H193" s="133">
        <f t="shared" si="12"/>
        <v>0</v>
      </c>
    </row>
    <row r="194" spans="1:8" ht="13.5" hidden="1" thickTop="1" x14ac:dyDescent="0.2">
      <c r="A194" s="791"/>
      <c r="B194" s="119" t="s">
        <v>199</v>
      </c>
      <c r="C194" s="130">
        <f>'Non-personnel'!H83</f>
        <v>0</v>
      </c>
      <c r="D194" s="130">
        <f>'Non-personnel'!J83</f>
        <v>0</v>
      </c>
      <c r="E194" s="130">
        <f>'Non-personnel'!L83</f>
        <v>0</v>
      </c>
      <c r="F194" s="130">
        <f>'Non-personnel'!N83</f>
        <v>0</v>
      </c>
      <c r="G194" s="130">
        <f>'Non-personnel'!P83</f>
        <v>0</v>
      </c>
      <c r="H194" s="133">
        <f t="shared" si="12"/>
        <v>0</v>
      </c>
    </row>
    <row r="195" spans="1:8" ht="13.5" hidden="1" thickTop="1" x14ac:dyDescent="0.2">
      <c r="A195" s="790" t="str">
        <f>IF(ISBLANK('Non-personnel'!B84),"",'Non-personnel'!B84)</f>
        <v/>
      </c>
      <c r="B195" s="119" t="s">
        <v>40</v>
      </c>
      <c r="C195" s="130">
        <f>SUM('Non-personnel'!H84,'Non-personnel'!I84)</f>
        <v>0</v>
      </c>
      <c r="D195" s="130">
        <f>SUM('Non-personnel'!J84,'Non-personnel'!K84)</f>
        <v>0</v>
      </c>
      <c r="E195" s="130">
        <f>SUM('Non-personnel'!L84,'Non-personnel'!M84)</f>
        <v>0</v>
      </c>
      <c r="F195" s="130">
        <f>SUM('Non-personnel'!N84,'Non-personnel'!O84)</f>
        <v>0</v>
      </c>
      <c r="G195" s="130">
        <f>SUM('Non-personnel'!P84,'Non-personnel'!Q84)</f>
        <v>0</v>
      </c>
      <c r="H195" s="133">
        <f t="shared" si="12"/>
        <v>0</v>
      </c>
    </row>
    <row r="196" spans="1:8" ht="13.5" hidden="1" thickTop="1" x14ac:dyDescent="0.2">
      <c r="A196" s="791"/>
      <c r="B196" s="119" t="s">
        <v>199</v>
      </c>
      <c r="C196" s="130">
        <f>'Non-personnel'!H85</f>
        <v>0</v>
      </c>
      <c r="D196" s="130">
        <f>'Non-personnel'!J85</f>
        <v>0</v>
      </c>
      <c r="E196" s="130">
        <f>'Non-personnel'!L85</f>
        <v>0</v>
      </c>
      <c r="F196" s="130">
        <f>'Non-personnel'!N85</f>
        <v>0</v>
      </c>
      <c r="G196" s="130">
        <f>'Non-personnel'!P85</f>
        <v>0</v>
      </c>
      <c r="H196" s="133">
        <f t="shared" si="12"/>
        <v>0</v>
      </c>
    </row>
    <row r="197" spans="1:8" ht="13.5" hidden="1" thickTop="1" x14ac:dyDescent="0.2">
      <c r="A197" s="790" t="str">
        <f>IF(ISBLANK('Non-personnel'!B86),"",'Non-personnel'!B86)</f>
        <v/>
      </c>
      <c r="B197" s="119" t="s">
        <v>40</v>
      </c>
      <c r="C197" s="130">
        <f>SUM('Non-personnel'!H86,'Non-personnel'!I86)</f>
        <v>0</v>
      </c>
      <c r="D197" s="130">
        <f>SUM('Non-personnel'!J86,'Non-personnel'!K86)</f>
        <v>0</v>
      </c>
      <c r="E197" s="130">
        <f>SUM('Non-personnel'!L86,'Non-personnel'!M86)</f>
        <v>0</v>
      </c>
      <c r="F197" s="130">
        <f>SUM('Non-personnel'!N86,'Non-personnel'!O86)</f>
        <v>0</v>
      </c>
      <c r="G197" s="130">
        <f>SUM('Non-personnel'!P86,'Non-personnel'!Q86)</f>
        <v>0</v>
      </c>
      <c r="H197" s="133">
        <f t="shared" si="12"/>
        <v>0</v>
      </c>
    </row>
    <row r="198" spans="1:8" ht="13.5" hidden="1" thickTop="1" x14ac:dyDescent="0.2">
      <c r="A198" s="791"/>
      <c r="B198" s="119" t="s">
        <v>199</v>
      </c>
      <c r="C198" s="130">
        <f>'Non-personnel'!H87</f>
        <v>0</v>
      </c>
      <c r="D198" s="130">
        <f>'Non-personnel'!J87</f>
        <v>0</v>
      </c>
      <c r="E198" s="130">
        <f>'Non-personnel'!L87</f>
        <v>0</v>
      </c>
      <c r="F198" s="130">
        <f>'Non-personnel'!N87</f>
        <v>0</v>
      </c>
      <c r="G198" s="130">
        <f>'Non-personnel'!P87</f>
        <v>0</v>
      </c>
      <c r="H198" s="133">
        <f t="shared" si="12"/>
        <v>0</v>
      </c>
    </row>
    <row r="199" spans="1:8" ht="13.5" hidden="1" thickTop="1" x14ac:dyDescent="0.2">
      <c r="A199" s="790" t="str">
        <f>IF(ISBLANK('Non-personnel'!B88),"",'Non-personnel'!B88)</f>
        <v/>
      </c>
      <c r="B199" s="119" t="s">
        <v>40</v>
      </c>
      <c r="C199" s="130">
        <f>SUM('Non-personnel'!H88,'Non-personnel'!I88)</f>
        <v>0</v>
      </c>
      <c r="D199" s="130">
        <f>SUM('Non-personnel'!J88,'Non-personnel'!K88)</f>
        <v>0</v>
      </c>
      <c r="E199" s="130">
        <f>SUM('Non-personnel'!L88,'Non-personnel'!M88)</f>
        <v>0</v>
      </c>
      <c r="F199" s="130">
        <f>SUM('Non-personnel'!N88,'Non-personnel'!O88)</f>
        <v>0</v>
      </c>
      <c r="G199" s="130">
        <f>SUM('Non-personnel'!P88,'Non-personnel'!Q88)</f>
        <v>0</v>
      </c>
      <c r="H199" s="133">
        <f t="shared" si="12"/>
        <v>0</v>
      </c>
    </row>
    <row r="200" spans="1:8" ht="13.5" hidden="1" thickTop="1" x14ac:dyDescent="0.2">
      <c r="A200" s="791"/>
      <c r="B200" s="119" t="s">
        <v>199</v>
      </c>
      <c r="C200" s="130">
        <f>'Non-personnel'!H89</f>
        <v>0</v>
      </c>
      <c r="D200" s="130">
        <f>'Non-personnel'!J89</f>
        <v>0</v>
      </c>
      <c r="E200" s="130">
        <f>'Non-personnel'!L89</f>
        <v>0</v>
      </c>
      <c r="F200" s="130">
        <f>'Non-personnel'!N89</f>
        <v>0</v>
      </c>
      <c r="G200" s="130">
        <f>'Non-personnel'!P89</f>
        <v>0</v>
      </c>
      <c r="H200" s="131">
        <f t="shared" si="12"/>
        <v>0</v>
      </c>
    </row>
    <row r="201" spans="1:8" ht="14.25" hidden="1" thickTop="1" thickBot="1" x14ac:dyDescent="0.25">
      <c r="A201" s="794" t="s">
        <v>40</v>
      </c>
      <c r="B201" s="795"/>
      <c r="C201" s="134">
        <f t="shared" ref="C201:G202" si="13">SUM(C181,C183,C185,C187,C189,C191,C193,C195,C197,C199)</f>
        <v>0</v>
      </c>
      <c r="D201" s="134">
        <f t="shared" si="13"/>
        <v>0</v>
      </c>
      <c r="E201" s="134">
        <f t="shared" si="13"/>
        <v>0</v>
      </c>
      <c r="F201" s="134">
        <f t="shared" si="13"/>
        <v>0</v>
      </c>
      <c r="G201" s="134">
        <f t="shared" si="13"/>
        <v>0</v>
      </c>
      <c r="H201" s="135">
        <f t="shared" si="12"/>
        <v>0</v>
      </c>
    </row>
    <row r="202" spans="1:8" ht="14.25" hidden="1" thickTop="1" thickBot="1" x14ac:dyDescent="0.25">
      <c r="A202" s="786" t="s">
        <v>200</v>
      </c>
      <c r="B202" s="787"/>
      <c r="C202" s="466">
        <f t="shared" si="13"/>
        <v>0</v>
      </c>
      <c r="D202" s="466">
        <f t="shared" si="13"/>
        <v>0</v>
      </c>
      <c r="E202" s="466">
        <f t="shared" si="13"/>
        <v>0</v>
      </c>
      <c r="F202" s="466">
        <f t="shared" si="13"/>
        <v>0</v>
      </c>
      <c r="G202" s="466">
        <f t="shared" si="13"/>
        <v>0</v>
      </c>
      <c r="H202" s="467">
        <f t="shared" si="12"/>
        <v>0</v>
      </c>
    </row>
    <row r="203" spans="1:8" ht="13.5" thickTop="1" x14ac:dyDescent="0.2"/>
    <row r="204" spans="1:8" hidden="1" x14ac:dyDescent="0.2">
      <c r="A204" s="796" t="s">
        <v>245</v>
      </c>
      <c r="B204" s="796"/>
      <c r="C204" s="81"/>
      <c r="D204" s="81"/>
      <c r="E204" s="81"/>
      <c r="F204" s="81"/>
      <c r="G204" s="81"/>
      <c r="H204" s="81"/>
    </row>
    <row r="205" spans="1:8" hidden="1" x14ac:dyDescent="0.2">
      <c r="A205" s="224" t="str">
        <f>CONCATENATE('Personnel Yr 1'!B44, IF(OR(ISBLANK('Personnel Yr 1'!B44),'Personnel Yr 1'!B44=""),""," "),'Personnel Yr 1'!C44, " ",'Personnel Yr 1'!D44,IF(OR(ISBLANK('Personnel Yr 1'!D44),'Personnel Yr 1'!D44=""),""," "),'Personnel Yr 1'!E44," ",'Personnel Yr 1'!F44)</f>
        <v xml:space="preserve">  </v>
      </c>
      <c r="B205" s="242" t="s">
        <v>399</v>
      </c>
      <c r="C205" s="83" t="s">
        <v>35</v>
      </c>
      <c r="D205" s="83" t="s">
        <v>36</v>
      </c>
      <c r="E205" s="83" t="s">
        <v>37</v>
      </c>
      <c r="F205" s="83" t="s">
        <v>38</v>
      </c>
      <c r="G205" s="83" t="s">
        <v>39</v>
      </c>
      <c r="H205" s="83" t="s">
        <v>40</v>
      </c>
    </row>
    <row r="206" spans="1:8" hidden="1" x14ac:dyDescent="0.2">
      <c r="A206" s="222" t="s">
        <v>69</v>
      </c>
      <c r="B206" s="243">
        <f>(C206/17)*C272</f>
        <v>0</v>
      </c>
      <c r="C206" s="84">
        <f>ROUND(('Personnel Yr 1'!S44),0)</f>
        <v>0</v>
      </c>
      <c r="D206" s="84">
        <f>IF(OR(ISBLANK('Personnel Yr 2'!R44),'Personnel Yr 2'!R44=""),0,ROUND(('Personnel Yr 2'!R44),0))</f>
        <v>0</v>
      </c>
      <c r="E206" s="84">
        <f>IF(OR(ISBLANK('Personnel Yr 3'!R44),'Personnel Yr 3'!R44=""),0,ROUND(('Personnel Yr 3'!R44),0))</f>
        <v>0</v>
      </c>
      <c r="F206" s="84">
        <f>IF(OR(ISBLANK('Personnel Yr 4'!R44),'Personnel Yr 4'!R44=""),0,ROUND(('Personnel Yr 4'!R44),0))</f>
        <v>0</v>
      </c>
      <c r="G206" s="84">
        <f>IF(OR(ISBLANK('Personnel Yr 5'!R44),'Personnel Yr 5'!R44=""),0,ROUND(('Personnel Yr 5'!R44),0))</f>
        <v>0</v>
      </c>
      <c r="H206" s="84">
        <f>SUM(C206:G206)</f>
        <v>0</v>
      </c>
    </row>
    <row r="207" spans="1:8" hidden="1" x14ac:dyDescent="0.2">
      <c r="A207" s="222" t="s">
        <v>130</v>
      </c>
      <c r="B207" s="243">
        <f>(C207/17)*C275</f>
        <v>0</v>
      </c>
      <c r="C207" s="84">
        <f>ROUND(('Personnel Yr 1'!R44),0)</f>
        <v>0</v>
      </c>
      <c r="D207" s="84">
        <f>IF(OR(ISBLANK('Personnel Yr 2'!Q44),'Personnel Yr 2'!Q44=""),0,ROUND(('Personnel Yr 2'!Q44),0))</f>
        <v>0</v>
      </c>
      <c r="E207" s="84">
        <f>IF(OR(ISBLANK('Personnel Yr 3'!Q44),'Personnel Yr 3'!Q44=""),0,ROUND(('Personnel Yr 3'!Q44),0))</f>
        <v>0</v>
      </c>
      <c r="F207" s="84">
        <f>IF(OR(ISBLANK('Personnel Yr 4'!Q44),'Personnel Yr 4'!Q44=""),0,ROUND(('Personnel Yr 4'!Q44),0))</f>
        <v>0</v>
      </c>
      <c r="G207" s="84">
        <f>IF(OR(ISBLANK('Personnel Yr 5'!Q44),'Personnel Yr 5'!Q44=""),0,ROUND(('Personnel Yr 5'!Q44),0))</f>
        <v>0</v>
      </c>
      <c r="H207" s="84">
        <f>SUM(C207:G207)</f>
        <v>0</v>
      </c>
    </row>
    <row r="208" spans="1:8" hidden="1" x14ac:dyDescent="0.2">
      <c r="A208" s="222" t="s">
        <v>131</v>
      </c>
      <c r="B208" s="241"/>
      <c r="C208" s="84">
        <f>ROUND(('Personnel Yr 1'!Q44),0)</f>
        <v>0</v>
      </c>
      <c r="D208" s="84">
        <f>IF(OR(ISBLANK('Personnel Yr 2'!P44),'Personnel Yr 2'!P44=""),0,ROUND(('Personnel Yr 2'!P44),0))</f>
        <v>0</v>
      </c>
      <c r="E208" s="84">
        <f>IF(OR(ISBLANK('Personnel Yr 3'!P44),'Personnel Yr 3'!P44=""),0,ROUND(('Personnel Yr 3'!P44),0))</f>
        <v>0</v>
      </c>
      <c r="F208" s="84">
        <f>IF(OR(ISBLANK('Personnel Yr 4'!P44),'Personnel Yr 4'!P44=""),0,ROUND(('Personnel Yr 4'!P44),0))</f>
        <v>0</v>
      </c>
      <c r="G208" s="84">
        <f>IF(OR(ISBLANK('Personnel Yr 5'!P44),'Personnel Yr 5'!P44=""),0,ROUND(('Personnel Yr 5'!P44),0))</f>
        <v>0</v>
      </c>
      <c r="H208" s="84">
        <f>SUM(C208:G208)</f>
        <v>0</v>
      </c>
    </row>
    <row r="209" spans="1:8" hidden="1" x14ac:dyDescent="0.2">
      <c r="A209" s="775" t="str">
        <f>CONCATENATE('Personnel Yr 1'!B45, IF(OR(ISBLANK('Personnel Yr 1'!B45),'Personnel Yr 1'!B45=""),""," "),'Personnel Yr 1'!C45, " ",'Personnel Yr 1'!D45,IF(OR(ISBLANK('Personnel Yr 1'!D45),'Personnel Yr 1'!D45=""),""," "),'Personnel Yr 1'!E45," ",'Personnel Yr 1'!F45)</f>
        <v xml:space="preserve">  </v>
      </c>
      <c r="B209" s="776"/>
      <c r="C209" s="85"/>
      <c r="D209" s="86"/>
      <c r="E209" s="86"/>
      <c r="F209" s="86"/>
      <c r="G209" s="86"/>
      <c r="H209" s="87"/>
    </row>
    <row r="210" spans="1:8" hidden="1" x14ac:dyDescent="0.2">
      <c r="A210" s="222" t="s">
        <v>69</v>
      </c>
      <c r="B210" s="243">
        <f>(C210/17)*C279</f>
        <v>0</v>
      </c>
      <c r="C210" s="84">
        <f>ROUND(('Personnel Yr 1'!S45),0)</f>
        <v>0</v>
      </c>
      <c r="D210" s="84">
        <f>IF(OR(ISBLANK('Personnel Yr 2'!R45),'Personnel Yr 2'!R45=""),0,ROUND(('Personnel Yr 2'!R45),0))</f>
        <v>0</v>
      </c>
      <c r="E210" s="84">
        <f>IF(OR(ISBLANK('Personnel Yr 3'!R45),'Personnel Yr 3'!R45=""),0,ROUND(('Personnel Yr 3'!R45),0))</f>
        <v>0</v>
      </c>
      <c r="F210" s="84">
        <f>IF(OR(ISBLANK('Personnel Yr 4'!R45),'Personnel Yr 4'!R45=""),0,ROUND(('Personnel Yr 4'!R45),0))</f>
        <v>0</v>
      </c>
      <c r="G210" s="84">
        <f>IF(OR(ISBLANK('Personnel Yr 5'!R45),'Personnel Yr 5'!R45=""),0,ROUND(('Personnel Yr 5'!R45),0))</f>
        <v>0</v>
      </c>
      <c r="H210" s="84">
        <f>SUM(C210:G210)</f>
        <v>0</v>
      </c>
    </row>
    <row r="211" spans="1:8" hidden="1" x14ac:dyDescent="0.2">
      <c r="A211" s="222" t="s">
        <v>130</v>
      </c>
      <c r="B211" s="243">
        <f>(C211/17)*C282</f>
        <v>0</v>
      </c>
      <c r="C211" s="84">
        <f>ROUND(('Personnel Yr 1'!R45),0)</f>
        <v>0</v>
      </c>
      <c r="D211" s="84">
        <f>IF(OR(ISBLANK('Personnel Yr 2'!Q45),'Personnel Yr 2'!Q45=""),0,ROUND(('Personnel Yr 2'!Q45),0))</f>
        <v>0</v>
      </c>
      <c r="E211" s="84">
        <f>IF(OR(ISBLANK('Personnel Yr 3'!Q45),'Personnel Yr 3'!Q45=""),0,ROUND(('Personnel Yr 3'!Q45),0))</f>
        <v>0</v>
      </c>
      <c r="F211" s="84">
        <f>IF(OR(ISBLANK('Personnel Yr 4'!Q45),'Personnel Yr 4'!Q45=""),0,ROUND(('Personnel Yr 4'!Q45),0))</f>
        <v>0</v>
      </c>
      <c r="G211" s="84">
        <f>IF(OR(ISBLANK('Personnel Yr 5'!Q45),'Personnel Yr 5'!Q45=""),0,ROUND(('Personnel Yr 5'!Q45),0))</f>
        <v>0</v>
      </c>
      <c r="H211" s="84">
        <f>SUM(C211:G211)</f>
        <v>0</v>
      </c>
    </row>
    <row r="212" spans="1:8" hidden="1" x14ac:dyDescent="0.2">
      <c r="A212" s="222" t="s">
        <v>131</v>
      </c>
      <c r="B212" s="241"/>
      <c r="C212" s="84">
        <f>ROUND(('Personnel Yr 1'!Q45),0)</f>
        <v>0</v>
      </c>
      <c r="D212" s="84">
        <f>IF(OR(ISBLANK('Personnel Yr 2'!P45),'Personnel Yr 2'!P45=""),0,ROUND(('Personnel Yr 2'!P45),0))</f>
        <v>0</v>
      </c>
      <c r="E212" s="84">
        <f>IF(OR(ISBLANK('Personnel Yr 3'!P45),'Personnel Yr 3'!P45=""),0,ROUND(('Personnel Yr 3'!P45),0))</f>
        <v>0</v>
      </c>
      <c r="F212" s="84">
        <f>IF(OR(ISBLANK('Personnel Yr 4'!P45),'Personnel Yr 4'!P45=""),0,ROUND(('Personnel Yr 4'!P45),0))</f>
        <v>0</v>
      </c>
      <c r="G212" s="84">
        <f>IF(OR(ISBLANK('Personnel Yr 5'!P45),'Personnel Yr 5'!P45=""),0,ROUND(('Personnel Yr 5'!P45),0))</f>
        <v>0</v>
      </c>
      <c r="H212" s="84">
        <f>SUM(C212:G212)</f>
        <v>0</v>
      </c>
    </row>
    <row r="213" spans="1:8" hidden="1" x14ac:dyDescent="0.2">
      <c r="A213" s="775" t="str">
        <f>CONCATENATE('Personnel Yr 1'!B46, IF(OR(ISBLANK('Personnel Yr 1'!B46),'Personnel Yr 1'!B46=""),""," "),'Personnel Yr 1'!C46, " ",'Personnel Yr 1'!D46,IF(OR(ISBLANK('Personnel Yr 1'!D46),'Personnel Yr 1'!D46=""),""," "),'Personnel Yr 1'!E46," ",'Personnel Yr 1'!F46)</f>
        <v xml:space="preserve">  </v>
      </c>
      <c r="B213" s="776"/>
      <c r="C213" s="85"/>
      <c r="D213" s="86"/>
      <c r="E213" s="86"/>
      <c r="F213" s="86"/>
      <c r="G213" s="86"/>
      <c r="H213" s="87"/>
    </row>
    <row r="214" spans="1:8" hidden="1" x14ac:dyDescent="0.2">
      <c r="A214" s="222" t="s">
        <v>69</v>
      </c>
      <c r="B214" s="243">
        <f>(C214/17)*C286</f>
        <v>0</v>
      </c>
      <c r="C214" s="84">
        <f>ROUND(('Personnel Yr 1'!S46),0)</f>
        <v>0</v>
      </c>
      <c r="D214" s="84">
        <f>IF(OR(ISBLANK('Personnel Yr 2'!R46),'Personnel Yr 2'!R46=""),0,ROUND(('Personnel Yr 2'!R46),0))</f>
        <v>0</v>
      </c>
      <c r="E214" s="84">
        <f>IF(OR(ISBLANK('Personnel Yr 3'!R46),'Personnel Yr 3'!R46=""),0,ROUND(('Personnel Yr 3'!R46),0))</f>
        <v>0</v>
      </c>
      <c r="F214" s="84">
        <f>IF(OR(ISBLANK('Personnel Yr 4'!R46),'Personnel Yr 4'!R46=""),0,ROUND(('Personnel Yr 4'!R46),0))</f>
        <v>0</v>
      </c>
      <c r="G214" s="84">
        <f>IF(OR(ISBLANK('Personnel Yr 5'!R46),'Personnel Yr 5'!R46=""),0,ROUND(('Personnel Yr 5'!R46),0))</f>
        <v>0</v>
      </c>
      <c r="H214" s="84">
        <f>SUM(C214:G214)</f>
        <v>0</v>
      </c>
    </row>
    <row r="215" spans="1:8" hidden="1" x14ac:dyDescent="0.2">
      <c r="A215" s="222" t="s">
        <v>130</v>
      </c>
      <c r="B215" s="243">
        <f>(C215/17)*C289</f>
        <v>0</v>
      </c>
      <c r="C215" s="84">
        <f>ROUND(('Personnel Yr 1'!R46),0)</f>
        <v>0</v>
      </c>
      <c r="D215" s="84">
        <f>IF(OR(ISBLANK('Personnel Yr 2'!Q46),'Personnel Yr 2'!Q46=""),0,ROUND(('Personnel Yr 2'!Q46),0))</f>
        <v>0</v>
      </c>
      <c r="E215" s="84">
        <f>IF(OR(ISBLANK('Personnel Yr 3'!Q46),'Personnel Yr 3'!Q46=""),0,ROUND(('Personnel Yr 3'!Q46),0))</f>
        <v>0</v>
      </c>
      <c r="F215" s="84">
        <f>IF(OR(ISBLANK('Personnel Yr 4'!Q46),'Personnel Yr 4'!Q46=""),0,ROUND(('Personnel Yr 4'!Q46),0))</f>
        <v>0</v>
      </c>
      <c r="G215" s="84">
        <f>IF(OR(ISBLANK('Personnel Yr 5'!Q46),'Personnel Yr 5'!Q46=""),0,ROUND(('Personnel Yr 5'!Q46),0))</f>
        <v>0</v>
      </c>
      <c r="H215" s="84">
        <f>SUM(C215:G215)</f>
        <v>0</v>
      </c>
    </row>
    <row r="216" spans="1:8" hidden="1" x14ac:dyDescent="0.2">
      <c r="A216" s="222" t="s">
        <v>131</v>
      </c>
      <c r="B216" s="241"/>
      <c r="C216" s="84">
        <f>ROUND(('Personnel Yr 1'!Q46),0)</f>
        <v>0</v>
      </c>
      <c r="D216" s="84">
        <f>IF(OR(ISBLANK('Personnel Yr 2'!P46),'Personnel Yr 2'!P46=""),0,ROUND(('Personnel Yr 2'!P46),0))</f>
        <v>0</v>
      </c>
      <c r="E216" s="84">
        <f>IF(OR(ISBLANK('Personnel Yr 3'!P46),'Personnel Yr 3'!P46=""),0,ROUND(('Personnel Yr 3'!P46),0))</f>
        <v>0</v>
      </c>
      <c r="F216" s="84">
        <f>IF(OR(ISBLANK('Personnel Yr 4'!P46),'Personnel Yr 4'!P46=""),0,ROUND(('Personnel Yr 4'!P46),0))</f>
        <v>0</v>
      </c>
      <c r="G216" s="84">
        <f>IF(OR(ISBLANK('Personnel Yr 5'!P46),'Personnel Yr 5'!P46=""),0,ROUND(('Personnel Yr 5'!P46),0))</f>
        <v>0</v>
      </c>
      <c r="H216" s="84">
        <f>SUM(C216:G216)</f>
        <v>0</v>
      </c>
    </row>
    <row r="217" spans="1:8" hidden="1" x14ac:dyDescent="0.2">
      <c r="A217" s="775" t="str">
        <f>CONCATENATE('Personnel Yr 1'!B47, IF(OR(ISBLANK('Personnel Yr 1'!B47),'Personnel Yr 1'!B47=""),""," "),'Personnel Yr 1'!C47, " ",'Personnel Yr 1'!D47,IF(OR(ISBLANK('Personnel Yr 1'!D47),'Personnel Yr 1'!D47=""),""," "),'Personnel Yr 1'!E47," ",'Personnel Yr 1'!F47)</f>
        <v xml:space="preserve">  </v>
      </c>
      <c r="B217" s="776"/>
      <c r="C217" s="85"/>
      <c r="D217" s="86"/>
      <c r="E217" s="86"/>
      <c r="F217" s="86"/>
      <c r="G217" s="86"/>
      <c r="H217" s="87"/>
    </row>
    <row r="218" spans="1:8" hidden="1" x14ac:dyDescent="0.2">
      <c r="A218" s="222" t="s">
        <v>69</v>
      </c>
      <c r="B218" s="243">
        <f>(C218/17)*C293</f>
        <v>0</v>
      </c>
      <c r="C218" s="84">
        <f>ROUND(('Personnel Yr 1'!S47),0)</f>
        <v>0</v>
      </c>
      <c r="D218" s="84">
        <f>IF(OR(ISBLANK('Personnel Yr 2'!R47),'Personnel Yr 2'!R47=""),0,ROUND(('Personnel Yr 2'!R47),0))</f>
        <v>0</v>
      </c>
      <c r="E218" s="84">
        <f>IF(OR(ISBLANK('Personnel Yr 3'!R47),'Personnel Yr 3'!R47=""),0,ROUND(('Personnel Yr 3'!R47),0))</f>
        <v>0</v>
      </c>
      <c r="F218" s="84">
        <f>IF(OR(ISBLANK('Personnel Yr 4'!R47),'Personnel Yr 4'!R47=""),0,ROUND(('Personnel Yr 4'!R47),0))</f>
        <v>0</v>
      </c>
      <c r="G218" s="84">
        <f>IF(OR(ISBLANK('Personnel Yr 5'!R47),'Personnel Yr 5'!R47=""),0,ROUND(('Personnel Yr 5'!R47),0))</f>
        <v>0</v>
      </c>
      <c r="H218" s="84">
        <f>SUM(C218:G218)</f>
        <v>0</v>
      </c>
    </row>
    <row r="219" spans="1:8" hidden="1" x14ac:dyDescent="0.2">
      <c r="A219" s="222" t="s">
        <v>130</v>
      </c>
      <c r="B219" s="243">
        <f>(C219/17)*C296</f>
        <v>0</v>
      </c>
      <c r="C219" s="84">
        <f>ROUND(('Personnel Yr 1'!R47),0)</f>
        <v>0</v>
      </c>
      <c r="D219" s="84">
        <f>IF(OR(ISBLANK('Personnel Yr 2'!Q47),'Personnel Yr 2'!Q47=""),0,ROUND(('Personnel Yr 2'!Q47),0))</f>
        <v>0</v>
      </c>
      <c r="E219" s="84">
        <f>IF(OR(ISBLANK('Personnel Yr 3'!Q47),'Personnel Yr 3'!Q47=""),0,ROUND(('Personnel Yr 3'!Q47),0))</f>
        <v>0</v>
      </c>
      <c r="F219" s="84">
        <f>IF(OR(ISBLANK('Personnel Yr 4'!Q47),'Personnel Yr 4'!Q47=""),0,ROUND(('Personnel Yr 4'!Q47),0))</f>
        <v>0</v>
      </c>
      <c r="G219" s="84">
        <f>IF(OR(ISBLANK('Personnel Yr 5'!Q47),'Personnel Yr 5'!Q47=""),0,ROUND(('Personnel Yr 5'!Q47),0))</f>
        <v>0</v>
      </c>
      <c r="H219" s="84">
        <f>SUM(C219:G219)</f>
        <v>0</v>
      </c>
    </row>
    <row r="220" spans="1:8" hidden="1" x14ac:dyDescent="0.2">
      <c r="A220" s="222" t="s">
        <v>131</v>
      </c>
      <c r="B220" s="241"/>
      <c r="C220" s="84">
        <f>ROUND(('Personnel Yr 1'!Q47),0)</f>
        <v>0</v>
      </c>
      <c r="D220" s="84">
        <f>IF(OR(ISBLANK('Personnel Yr 2'!P47),'Personnel Yr 2'!P47=""),0,ROUND(('Personnel Yr 2'!P47),0))</f>
        <v>0</v>
      </c>
      <c r="E220" s="84">
        <f>IF(OR(ISBLANK('Personnel Yr 3'!P47),'Personnel Yr 3'!P47=""),0,ROUND(('Personnel Yr 3'!P47),0))</f>
        <v>0</v>
      </c>
      <c r="F220" s="84">
        <f>IF(OR(ISBLANK('Personnel Yr 4'!P47),'Personnel Yr 4'!P47=""),0,ROUND(('Personnel Yr 4'!P47),0))</f>
        <v>0</v>
      </c>
      <c r="G220" s="84">
        <f>IF(OR(ISBLANK('Personnel Yr 5'!P47),'Personnel Yr 5'!P47=""),0,ROUND(('Personnel Yr 5'!P47),0))</f>
        <v>0</v>
      </c>
      <c r="H220" s="84">
        <f>SUM(C220:G220)</f>
        <v>0</v>
      </c>
    </row>
    <row r="221" spans="1:8" hidden="1" x14ac:dyDescent="0.2">
      <c r="A221" s="775" t="str">
        <f>CONCATENATE('Personnel Yr 1'!B48, IF(OR(ISBLANK('Personnel Yr 1'!B48),'Personnel Yr 1'!B48=""),""," "),'Personnel Yr 1'!C48, " ",'Personnel Yr 1'!D48,IF(OR(ISBLANK('Personnel Yr 1'!D48),'Personnel Yr 1'!D48=""),""," "),'Personnel Yr 1'!E48," ",'Personnel Yr 1'!F48)</f>
        <v xml:space="preserve">  </v>
      </c>
      <c r="B221" s="776"/>
      <c r="C221" s="85"/>
      <c r="D221" s="86"/>
      <c r="E221" s="86"/>
      <c r="F221" s="86"/>
      <c r="G221" s="86"/>
      <c r="H221" s="87"/>
    </row>
    <row r="222" spans="1:8" hidden="1" x14ac:dyDescent="0.2">
      <c r="A222" s="222" t="s">
        <v>69</v>
      </c>
      <c r="B222" s="243">
        <f>(C222/17)*C300</f>
        <v>0</v>
      </c>
      <c r="C222" s="84">
        <f>ROUND(('Personnel Yr 1'!S48),0)</f>
        <v>0</v>
      </c>
      <c r="D222" s="84">
        <f>IF(OR(ISBLANK('Personnel Yr 2'!R48),'Personnel Yr 2'!R48=""),0,ROUND(('Personnel Yr 2'!R48),0))</f>
        <v>0</v>
      </c>
      <c r="E222" s="84">
        <f>IF(OR(ISBLANK('Personnel Yr 3'!R48),'Personnel Yr 3'!R48=""),0,ROUND(('Personnel Yr 3'!R48),0))</f>
        <v>0</v>
      </c>
      <c r="F222" s="84">
        <f>IF(OR(ISBLANK('Personnel Yr 4'!R48),'Personnel Yr 4'!R48=""),0,ROUND(('Personnel Yr 4'!R48),0))</f>
        <v>0</v>
      </c>
      <c r="G222" s="84">
        <f>IF(OR(ISBLANK('Personnel Yr 5'!R48),'Personnel Yr 5'!R48=""),0,ROUND(('Personnel Yr 5'!R48),0))</f>
        <v>0</v>
      </c>
      <c r="H222" s="84">
        <f>SUM(C222:G222)</f>
        <v>0</v>
      </c>
    </row>
    <row r="223" spans="1:8" hidden="1" x14ac:dyDescent="0.2">
      <c r="A223" s="222" t="s">
        <v>130</v>
      </c>
      <c r="B223" s="243">
        <f>(C223/17)*C303</f>
        <v>0</v>
      </c>
      <c r="C223" s="84">
        <f>ROUND(('Personnel Yr 1'!R48),0)</f>
        <v>0</v>
      </c>
      <c r="D223" s="84">
        <f>IF(OR(ISBLANK('Personnel Yr 2'!Q48),'Personnel Yr 2'!Q48=""),0,ROUND(('Personnel Yr 2'!Q48),0))</f>
        <v>0</v>
      </c>
      <c r="E223" s="84">
        <f>IF(OR(ISBLANK('Personnel Yr 3'!Q48),'Personnel Yr 3'!Q48=""),0,ROUND(('Personnel Yr 3'!Q48),0))</f>
        <v>0</v>
      </c>
      <c r="F223" s="84">
        <f>IF(OR(ISBLANK('Personnel Yr 4'!Q48),'Personnel Yr 4'!Q48=""),0,ROUND(('Personnel Yr 4'!Q48),0))</f>
        <v>0</v>
      </c>
      <c r="G223" s="84">
        <f>IF(OR(ISBLANK('Personnel Yr 5'!Q48),'Personnel Yr 5'!Q48=""),0,ROUND(('Personnel Yr 5'!Q48),0))</f>
        <v>0</v>
      </c>
      <c r="H223" s="84">
        <f>SUM(C223:G223)</f>
        <v>0</v>
      </c>
    </row>
    <row r="224" spans="1:8" hidden="1" x14ac:dyDescent="0.2">
      <c r="A224" s="222" t="s">
        <v>131</v>
      </c>
      <c r="B224" s="241"/>
      <c r="C224" s="84">
        <f>ROUND(('Personnel Yr 1'!Q48),0)</f>
        <v>0</v>
      </c>
      <c r="D224" s="84">
        <f>IF(OR(ISBLANK('Personnel Yr 2'!P48),'Personnel Yr 2'!P48=""),0,ROUND(('Personnel Yr 2'!P48),0))</f>
        <v>0</v>
      </c>
      <c r="E224" s="84">
        <f>IF(OR(ISBLANK('Personnel Yr 3'!P48),'Personnel Yr 3'!P48=""),0,ROUND(('Personnel Yr 3'!P48),0))</f>
        <v>0</v>
      </c>
      <c r="F224" s="84">
        <f>IF(OR(ISBLANK('Personnel Yr 4'!P48),'Personnel Yr 4'!P48=""),0,ROUND(('Personnel Yr 4'!P48),0))</f>
        <v>0</v>
      </c>
      <c r="G224" s="84">
        <f>IF(OR(ISBLANK('Personnel Yr 5'!P48),'Personnel Yr 5'!P48=""),0,ROUND(('Personnel Yr 5'!P48),0))</f>
        <v>0</v>
      </c>
      <c r="H224" s="84">
        <f>SUM(C224:G224)</f>
        <v>0</v>
      </c>
    </row>
    <row r="225" spans="1:8" hidden="1" x14ac:dyDescent="0.2">
      <c r="A225" s="775" t="str">
        <f>CONCATENATE('Personnel Yr 1'!B49, IF(OR(ISBLANK('Personnel Yr 1'!B49),'Personnel Yr 1'!B49=""),""," "),'Personnel Yr 1'!C49, " ",'Personnel Yr 1'!D49,IF(OR(ISBLANK('Personnel Yr 1'!D49),'Personnel Yr 1'!D49=""),""," "),'Personnel Yr 1'!E49," ",'Personnel Yr 1'!F49)</f>
        <v xml:space="preserve">  </v>
      </c>
      <c r="B225" s="776"/>
      <c r="C225" s="82"/>
      <c r="D225" s="88"/>
      <c r="E225" s="88"/>
      <c r="F225" s="88"/>
      <c r="G225" s="88"/>
      <c r="H225" s="89"/>
    </row>
    <row r="226" spans="1:8" hidden="1" x14ac:dyDescent="0.2">
      <c r="A226" s="222" t="s">
        <v>69</v>
      </c>
      <c r="B226" s="243">
        <f>(C226/17)*C307</f>
        <v>0</v>
      </c>
      <c r="C226" s="84">
        <f>ROUND(('Personnel Yr 1'!S49),0)</f>
        <v>0</v>
      </c>
      <c r="D226" s="84">
        <f>IF(OR(ISBLANK('Personnel Yr 2'!R49),'Personnel Yr 2'!R49=""),0,ROUND(('Personnel Yr 2'!R49),0))</f>
        <v>0</v>
      </c>
      <c r="E226" s="84">
        <f>IF(OR(ISBLANK('Personnel Yr 3'!R49),'Personnel Yr 3'!R49=""),0,ROUND(('Personnel Yr 3'!R49),0))</f>
        <v>0</v>
      </c>
      <c r="F226" s="84">
        <f>IF(OR(ISBLANK('Personnel Yr 4'!R49),'Personnel Yr 4'!R49=""),0,ROUND(('Personnel Yr 4'!R49),0))</f>
        <v>0</v>
      </c>
      <c r="G226" s="84">
        <f>IF(OR(ISBLANK('Personnel Yr 5'!R49),'Personnel Yr 5'!R49=""),0,ROUND(('Personnel Yr 5'!R49),0))</f>
        <v>0</v>
      </c>
      <c r="H226" s="84">
        <f>SUM(C226:G226)</f>
        <v>0</v>
      </c>
    </row>
    <row r="227" spans="1:8" hidden="1" x14ac:dyDescent="0.2">
      <c r="A227" s="222" t="s">
        <v>130</v>
      </c>
      <c r="B227" s="243">
        <f>(C227/17)*C310</f>
        <v>0</v>
      </c>
      <c r="C227" s="84">
        <f>ROUND(('Personnel Yr 1'!R49),0)</f>
        <v>0</v>
      </c>
      <c r="D227" s="84">
        <f>IF(OR(ISBLANK('Personnel Yr 2'!Q49),'Personnel Yr 2'!Q49=""),0,ROUND(('Personnel Yr 2'!Q49),0))</f>
        <v>0</v>
      </c>
      <c r="E227" s="84">
        <f>IF(OR(ISBLANK('Personnel Yr 3'!Q49),'Personnel Yr 3'!Q49=""),0,ROUND(('Personnel Yr 3'!Q49),0))</f>
        <v>0</v>
      </c>
      <c r="F227" s="84">
        <f>IF(OR(ISBLANK('Personnel Yr 4'!Q49),'Personnel Yr 4'!Q49=""),0,ROUND(('Personnel Yr 4'!Q49),0))</f>
        <v>0</v>
      </c>
      <c r="G227" s="84">
        <f>IF(OR(ISBLANK('Personnel Yr 5'!Q49),'Personnel Yr 5'!Q49=""),0,ROUND(('Personnel Yr 5'!Q49),0))</f>
        <v>0</v>
      </c>
      <c r="H227" s="84">
        <f>SUM(C227:G227)</f>
        <v>0</v>
      </c>
    </row>
    <row r="228" spans="1:8" hidden="1" x14ac:dyDescent="0.2">
      <c r="A228" s="222" t="s">
        <v>131</v>
      </c>
      <c r="B228" s="241"/>
      <c r="C228" s="84">
        <f>ROUND(('Personnel Yr 1'!Q49),0)</f>
        <v>0</v>
      </c>
      <c r="D228" s="84">
        <f>IF(OR(ISBLANK('Personnel Yr 2'!P49),'Personnel Yr 2'!P49=""),0,ROUND(('Personnel Yr 2'!P49),0))</f>
        <v>0</v>
      </c>
      <c r="E228" s="84">
        <f>IF(OR(ISBLANK('Personnel Yr 3'!P49),'Personnel Yr 3'!P49=""),0,ROUND(('Personnel Yr 3'!P49),0))</f>
        <v>0</v>
      </c>
      <c r="F228" s="84">
        <f>IF(OR(ISBLANK('Personnel Yr 4'!P49),'Personnel Yr 4'!P49=""),0,ROUND(('Personnel Yr 4'!P49),0))</f>
        <v>0</v>
      </c>
      <c r="G228" s="84">
        <f>IF(OR(ISBLANK('Personnel Yr 5'!P49),'Personnel Yr 5'!P49=""),0,ROUND(('Personnel Yr 5'!P49),0))</f>
        <v>0</v>
      </c>
      <c r="H228" s="84">
        <f>SUM(C228:G228)</f>
        <v>0</v>
      </c>
    </row>
    <row r="229" spans="1:8" hidden="1" x14ac:dyDescent="0.2">
      <c r="A229" s="775" t="str">
        <f>CONCATENATE('Personnel Yr 1'!B50, IF(OR(ISBLANK('Personnel Yr 1'!B50),'Personnel Yr 1'!B50=""),""," "),'Personnel Yr 1'!C50, " ",'Personnel Yr 1'!D50,IF(OR(ISBLANK('Personnel Yr 1'!D50),'Personnel Yr 1'!D50=""),""," "),'Personnel Yr 1'!E50," ",'Personnel Yr 1'!F50)</f>
        <v xml:space="preserve">  </v>
      </c>
      <c r="B229" s="776"/>
      <c r="C229" s="85"/>
      <c r="D229" s="86"/>
      <c r="E229" s="86"/>
      <c r="F229" s="86"/>
      <c r="G229" s="86"/>
      <c r="H229" s="87"/>
    </row>
    <row r="230" spans="1:8" hidden="1" x14ac:dyDescent="0.2">
      <c r="A230" s="222" t="s">
        <v>69</v>
      </c>
      <c r="B230" s="243">
        <f>(C230/17)*C314</f>
        <v>0</v>
      </c>
      <c r="C230" s="84">
        <f>ROUND(('Personnel Yr 1'!S50),0)</f>
        <v>0</v>
      </c>
      <c r="D230" s="84">
        <f>IF(OR(ISBLANK('Personnel Yr 2'!R50),'Personnel Yr 2'!R50=""),0,ROUND(('Personnel Yr 2'!R50),0))</f>
        <v>0</v>
      </c>
      <c r="E230" s="84">
        <f>IF(OR(ISBLANK('Personnel Yr 3'!R50),'Personnel Yr 3'!R50=""),0,ROUND(('Personnel Yr 3'!R50),0))</f>
        <v>0</v>
      </c>
      <c r="F230" s="84">
        <f>IF(OR(ISBLANK('Personnel Yr 4'!R50),'Personnel Yr 4'!R50=""),0,ROUND(('Personnel Yr 4'!R50),0))</f>
        <v>0</v>
      </c>
      <c r="G230" s="84">
        <f>IF(OR(ISBLANK('Personnel Yr 5'!R50),'Personnel Yr 5'!R50=""),0,ROUND(('Personnel Yr 5'!R50),0))</f>
        <v>0</v>
      </c>
      <c r="H230" s="84">
        <f>SUM(C230:G230)</f>
        <v>0</v>
      </c>
    </row>
    <row r="231" spans="1:8" hidden="1" x14ac:dyDescent="0.2">
      <c r="A231" s="222" t="s">
        <v>130</v>
      </c>
      <c r="B231" s="243">
        <f>(C231/17)*C317</f>
        <v>0</v>
      </c>
      <c r="C231" s="84">
        <f>ROUND(('Personnel Yr 1'!R50),0)</f>
        <v>0</v>
      </c>
      <c r="D231" s="84">
        <f>IF(OR(ISBLANK('Personnel Yr 2'!Q50),'Personnel Yr 2'!Q50=""),0,ROUND(('Personnel Yr 2'!Q50),0))</f>
        <v>0</v>
      </c>
      <c r="E231" s="84">
        <f>IF(OR(ISBLANK('Personnel Yr 3'!Q50),'Personnel Yr 3'!Q50=""),0,ROUND(('Personnel Yr 3'!Q50),0))</f>
        <v>0</v>
      </c>
      <c r="F231" s="84">
        <f>IF(OR(ISBLANK('Personnel Yr 4'!Q50),'Personnel Yr 4'!Q50=""),0,ROUND(('Personnel Yr 4'!Q50),0))</f>
        <v>0</v>
      </c>
      <c r="G231" s="84">
        <f>IF(OR(ISBLANK('Personnel Yr 5'!Q50),'Personnel Yr 5'!Q50=""),0,ROUND(('Personnel Yr 5'!Q50),0))</f>
        <v>0</v>
      </c>
      <c r="H231" s="84">
        <f>SUM(C231:G231)</f>
        <v>0</v>
      </c>
    </row>
    <row r="232" spans="1:8" hidden="1" x14ac:dyDescent="0.2">
      <c r="A232" s="222" t="s">
        <v>131</v>
      </c>
      <c r="B232" s="241"/>
      <c r="C232" s="84">
        <f>ROUND(('Personnel Yr 1'!Q50),0)</f>
        <v>0</v>
      </c>
      <c r="D232" s="84">
        <f>IF(OR(ISBLANK('Personnel Yr 2'!P50),'Personnel Yr 2'!P50=""),0,ROUND(('Personnel Yr 2'!P50),0))</f>
        <v>0</v>
      </c>
      <c r="E232" s="84">
        <f>IF(OR(ISBLANK('Personnel Yr 3'!P50),'Personnel Yr 3'!P50=""),0,ROUND(('Personnel Yr 3'!P50),0))</f>
        <v>0</v>
      </c>
      <c r="F232" s="84">
        <f>IF(OR(ISBLANK('Personnel Yr 4'!P50),'Personnel Yr 4'!P50=""),0,ROUND(('Personnel Yr 4'!P50),0))</f>
        <v>0</v>
      </c>
      <c r="G232" s="84">
        <f>IF(OR(ISBLANK('Personnel Yr 5'!P50),'Personnel Yr 5'!P50=""),0,ROUND(('Personnel Yr 5'!P50),0))</f>
        <v>0</v>
      </c>
      <c r="H232" s="84">
        <f>SUM(C232:G232)</f>
        <v>0</v>
      </c>
    </row>
    <row r="233" spans="1:8" hidden="1" x14ac:dyDescent="0.2">
      <c r="A233" s="775" t="str">
        <f>CONCATENATE('Personnel Yr 1'!B51, IF(OR(ISBLANK('Personnel Yr 1'!B51),'Personnel Yr 1'!B51=""),""," "),'Personnel Yr 1'!C51, " ",'Personnel Yr 1'!D51,IF(OR(ISBLANK('Personnel Yr 1'!D51),'Personnel Yr 1'!D51=""),""," "),'Personnel Yr 1'!E51," ",'Personnel Yr 1'!F51)</f>
        <v xml:space="preserve">  </v>
      </c>
      <c r="B233" s="776"/>
      <c r="C233" s="85"/>
      <c r="D233" s="86"/>
      <c r="E233" s="86"/>
      <c r="F233" s="86"/>
      <c r="G233" s="86"/>
      <c r="H233" s="87"/>
    </row>
    <row r="234" spans="1:8" hidden="1" x14ac:dyDescent="0.2">
      <c r="A234" s="222" t="s">
        <v>69</v>
      </c>
      <c r="B234" s="243">
        <f>(C234/17)*C321</f>
        <v>0</v>
      </c>
      <c r="C234" s="84">
        <f>ROUND(('Personnel Yr 1'!S51),0)</f>
        <v>0</v>
      </c>
      <c r="D234" s="84">
        <f>IF(OR(ISBLANK('Personnel Yr 2'!R51),'Personnel Yr 2'!R51=""),0,ROUND(('Personnel Yr 2'!R51),0))</f>
        <v>0</v>
      </c>
      <c r="E234" s="84">
        <f>IF(OR(ISBLANK('Personnel Yr 3'!R51),'Personnel Yr 3'!R51=""),0,ROUND(('Personnel Yr 3'!R51),0))</f>
        <v>0</v>
      </c>
      <c r="F234" s="84">
        <f>IF(OR(ISBLANK('Personnel Yr 4'!R51),'Personnel Yr 4'!R51=""),0,ROUND(('Personnel Yr 4'!R51),0))</f>
        <v>0</v>
      </c>
      <c r="G234" s="84">
        <f>IF(OR(ISBLANK('Personnel Yr 5'!R51),'Personnel Yr 5'!R51=""),0,ROUND(('Personnel Yr 5'!R51),0))</f>
        <v>0</v>
      </c>
      <c r="H234" s="84">
        <f>SUM(C234:G234)</f>
        <v>0</v>
      </c>
    </row>
    <row r="235" spans="1:8" hidden="1" x14ac:dyDescent="0.2">
      <c r="A235" s="222" t="s">
        <v>130</v>
      </c>
      <c r="B235" s="243">
        <f>(C235/17)*C324</f>
        <v>0</v>
      </c>
      <c r="C235" s="84">
        <f>ROUND(('Personnel Yr 1'!R51),0)</f>
        <v>0</v>
      </c>
      <c r="D235" s="84">
        <f>IF(OR(ISBLANK('Personnel Yr 2'!Q51),'Personnel Yr 2'!Q51=""),0,ROUND(('Personnel Yr 2'!Q51),0))</f>
        <v>0</v>
      </c>
      <c r="E235" s="84">
        <f>IF(OR(ISBLANK('Personnel Yr 3'!Q51),'Personnel Yr 3'!Q51=""),0,ROUND(('Personnel Yr 3'!Q51),0))</f>
        <v>0</v>
      </c>
      <c r="F235" s="84">
        <f>IF(OR(ISBLANK('Personnel Yr 4'!Q51),'Personnel Yr 4'!Q51=""),0,ROUND(('Personnel Yr 4'!Q51),0))</f>
        <v>0</v>
      </c>
      <c r="G235" s="84">
        <f>IF(OR(ISBLANK('Personnel Yr 5'!Q51),'Personnel Yr 5'!Q51=""),0,ROUND(('Personnel Yr 5'!Q51),0))</f>
        <v>0</v>
      </c>
      <c r="H235" s="84">
        <f>SUM(C235:G235)</f>
        <v>0</v>
      </c>
    </row>
    <row r="236" spans="1:8" hidden="1" x14ac:dyDescent="0.2">
      <c r="A236" s="222" t="s">
        <v>131</v>
      </c>
      <c r="B236" s="241"/>
      <c r="C236" s="128">
        <f>ROUND(('Personnel Yr 1'!Q51),0)</f>
        <v>0</v>
      </c>
      <c r="D236" s="128">
        <f>IF(OR(ISBLANK('Personnel Yr 2'!P51),'Personnel Yr 2'!P51=""),0,ROUND(('Personnel Yr 2'!P51),0))</f>
        <v>0</v>
      </c>
      <c r="E236" s="128">
        <f>IF(OR(ISBLANK('Personnel Yr 3'!P51),'Personnel Yr 3'!P51=""),0,ROUND(('Personnel Yr 3'!P51),0))</f>
        <v>0</v>
      </c>
      <c r="F236" s="128">
        <f>IF(OR(ISBLANK('Personnel Yr 4'!P51),'Personnel Yr 4'!P51=""),0,ROUND(('Personnel Yr 4'!P51),0))</f>
        <v>0</v>
      </c>
      <c r="G236" s="128">
        <f>IF(OR(ISBLANK('Personnel Yr 5'!P51),'Personnel Yr 5'!P51=""),0,ROUND(('Personnel Yr 5'!P51),0))</f>
        <v>0</v>
      </c>
      <c r="H236" s="128">
        <f>SUM(C236:G236)</f>
        <v>0</v>
      </c>
    </row>
    <row r="237" spans="1:8" hidden="1" x14ac:dyDescent="0.2">
      <c r="A237" s="775" t="str">
        <f>CONCATENATE('Personnel Yr 1'!B52, IF(OR(ISBLANK('Personnel Yr 1'!B52),'Personnel Yr 1'!B52=""),""," "),'Personnel Yr 1'!C52, " ",'Personnel Yr 1'!D52,IF(OR(ISBLANK('Personnel Yr 1'!D52),'Personnel Yr 1'!D52=""),""," "),'Personnel Yr 1'!E52," ",'Personnel Yr 1'!F52)</f>
        <v xml:space="preserve">  </v>
      </c>
      <c r="B237" s="776"/>
      <c r="C237" s="187"/>
      <c r="D237" s="188"/>
      <c r="E237" s="188"/>
      <c r="F237" s="188"/>
      <c r="G237" s="188"/>
      <c r="H237" s="189"/>
    </row>
    <row r="238" spans="1:8" hidden="1" x14ac:dyDescent="0.2">
      <c r="A238" s="222" t="s">
        <v>69</v>
      </c>
      <c r="B238" s="243">
        <f>(C238/17)*C329</f>
        <v>0</v>
      </c>
      <c r="C238" s="84">
        <f>ROUND(('Personnel Yr 1'!S52),0)</f>
        <v>0</v>
      </c>
      <c r="D238" s="84">
        <f>IF(OR(ISBLANK('Personnel Yr 2'!R52),'Personnel Yr 2'!R52=""),0,ROUND(('Personnel Yr 2'!R52),0))</f>
        <v>0</v>
      </c>
      <c r="E238" s="84">
        <f>IF(OR(ISBLANK('Personnel Yr 3'!R52),'Personnel Yr 3'!R52=""),0,ROUND(('Personnel Yr 3'!R52),0))</f>
        <v>0</v>
      </c>
      <c r="F238" s="84">
        <f>IF(OR(ISBLANK('Personnel Yr 4'!R52),'Personnel Yr 4'!R52=""),0,ROUND(('Personnel Yr 4'!R52),0))</f>
        <v>0</v>
      </c>
      <c r="G238" s="84">
        <f>IF(OR(ISBLANK('Personnel Yr 5'!R52),'Personnel Yr 5'!R52=""),0,ROUND(('Personnel Yr 5'!R52),0))</f>
        <v>0</v>
      </c>
      <c r="H238" s="84">
        <f>SUM(C238:G238)</f>
        <v>0</v>
      </c>
    </row>
    <row r="239" spans="1:8" hidden="1" x14ac:dyDescent="0.2">
      <c r="A239" s="222" t="s">
        <v>130</v>
      </c>
      <c r="B239" s="243">
        <f>(C239/17)*C332</f>
        <v>0</v>
      </c>
      <c r="C239" s="84">
        <f>ROUND(('Personnel Yr 1'!R52),0)</f>
        <v>0</v>
      </c>
      <c r="D239" s="84">
        <f>IF(OR(ISBLANK('Personnel Yr 2'!Q52),'Personnel Yr 2'!Q52=""),0,ROUND(('Personnel Yr 2'!Q52),0))</f>
        <v>0</v>
      </c>
      <c r="E239" s="84">
        <f>IF(OR(ISBLANK('Personnel Yr 3'!Q52),'Personnel Yr 3'!Q52=""),0,ROUND(('Personnel Yr 3'!Q52),0))</f>
        <v>0</v>
      </c>
      <c r="F239" s="84">
        <f>IF(OR(ISBLANK('Personnel Yr 4'!Q52),'Personnel Yr 4'!Q52=""),0,ROUND(('Personnel Yr 4'!Q52),0))</f>
        <v>0</v>
      </c>
      <c r="G239" s="84">
        <f>IF(OR(ISBLANK('Personnel Yr 5'!Q52),'Personnel Yr 5'!Q52=""),0,ROUND(('Personnel Yr 5'!Q52),0))</f>
        <v>0</v>
      </c>
      <c r="H239" s="84">
        <f>SUM(C239:G239)</f>
        <v>0</v>
      </c>
    </row>
    <row r="240" spans="1:8" hidden="1" x14ac:dyDescent="0.2">
      <c r="A240" s="222" t="s">
        <v>131</v>
      </c>
      <c r="B240" s="241"/>
      <c r="C240" s="84">
        <f>ROUND(('Personnel Yr 1'!Q52),0)</f>
        <v>0</v>
      </c>
      <c r="D240" s="84">
        <f>IF(OR(ISBLANK('Personnel Yr 2'!P52),'Personnel Yr 2'!P52=""),0,ROUND(('Personnel Yr 2'!P52),0))</f>
        <v>0</v>
      </c>
      <c r="E240" s="84">
        <f>IF(OR(ISBLANK('Personnel Yr 3'!P52),'Personnel Yr 3'!P52=""),0,ROUND(('Personnel Yr 3'!P52),0))</f>
        <v>0</v>
      </c>
      <c r="F240" s="84">
        <f>IF(OR(ISBLANK('Personnel Yr 4'!P52),'Personnel Yr 4'!P52=""),0,ROUND(('Personnel Yr 4'!P52),0))</f>
        <v>0</v>
      </c>
      <c r="G240" s="84">
        <f>IF(OR(ISBLANK('Personnel Yr 5'!P52),'Personnel Yr 5'!P52=""),0,ROUND(('Personnel Yr 5'!P52),0))</f>
        <v>0</v>
      </c>
      <c r="H240" s="84">
        <f>SUM(C240:G240)</f>
        <v>0</v>
      </c>
    </row>
    <row r="241" spans="1:8" hidden="1" x14ac:dyDescent="0.2">
      <c r="A241" s="775" t="str">
        <f>CONCATENATE('Personnel Yr 1'!B53, IF(OR(ISBLANK('Personnel Yr 1'!B53),'Personnel Yr 1'!B53=""),""," "),'Personnel Yr 1'!C53, " ",'Personnel Yr 1'!D53,IF(OR(ISBLANK('Personnel Yr 1'!D53),'Personnel Yr 1'!D53=""),""," "),'Personnel Yr 1'!E53," ",'Personnel Yr 1'!F53)</f>
        <v xml:space="preserve">  </v>
      </c>
      <c r="B241" s="776"/>
      <c r="C241" s="85"/>
      <c r="D241" s="86"/>
      <c r="E241" s="86"/>
      <c r="F241" s="86"/>
      <c r="G241" s="86"/>
      <c r="H241" s="87"/>
    </row>
    <row r="242" spans="1:8" hidden="1" x14ac:dyDescent="0.2">
      <c r="A242" s="222" t="s">
        <v>69</v>
      </c>
      <c r="B242" s="243">
        <f>(C242/17)*C336</f>
        <v>0</v>
      </c>
      <c r="C242" s="84">
        <f>ROUND(('Personnel Yr 1'!S53),0)</f>
        <v>0</v>
      </c>
      <c r="D242" s="84">
        <f>IF(OR(ISBLANK('Personnel Yr 2'!R53),'Personnel Yr 2'!R53=""),0,ROUND(('Personnel Yr 2'!R53),0))</f>
        <v>0</v>
      </c>
      <c r="E242" s="84">
        <f>IF(OR(ISBLANK('Personnel Yr 3'!R53),'Personnel Yr 3'!R53=""),0,ROUND(('Personnel Yr 3'!R53),0))</f>
        <v>0</v>
      </c>
      <c r="F242" s="84">
        <f>IF(OR(ISBLANK('Personnel Yr 4'!R53),'Personnel Yr 4'!R53=""),0,ROUND(('Personnel Yr 4'!R53),0))</f>
        <v>0</v>
      </c>
      <c r="G242" s="84">
        <f>IF(OR(ISBLANK('Personnel Yr 5'!R53),'Personnel Yr 5'!R53=""),0,ROUND(('Personnel Yr 5'!R53),0))</f>
        <v>0</v>
      </c>
      <c r="H242" s="84">
        <f>SUM(C242:G242)</f>
        <v>0</v>
      </c>
    </row>
    <row r="243" spans="1:8" hidden="1" x14ac:dyDescent="0.2">
      <c r="A243" s="222" t="s">
        <v>130</v>
      </c>
      <c r="B243" s="243">
        <f>(C243/17)*C339</f>
        <v>0</v>
      </c>
      <c r="C243" s="84">
        <f>ROUND(('Personnel Yr 1'!R53),0)</f>
        <v>0</v>
      </c>
      <c r="D243" s="84">
        <f>IF(OR(ISBLANK('Personnel Yr 2'!Q53),'Personnel Yr 2'!Q53=""),0,ROUND(('Personnel Yr 2'!Q53),0))</f>
        <v>0</v>
      </c>
      <c r="E243" s="84">
        <f>IF(OR(ISBLANK('Personnel Yr 3'!Q53),'Personnel Yr 3'!Q53=""),0,ROUND(('Personnel Yr 3'!Q53),0))</f>
        <v>0</v>
      </c>
      <c r="F243" s="84">
        <f>IF(OR(ISBLANK('Personnel Yr 4'!Q53),'Personnel Yr 4'!Q53=""),0,ROUND(('Personnel Yr 4'!Q53),0))</f>
        <v>0</v>
      </c>
      <c r="G243" s="84">
        <f>IF(OR(ISBLANK('Personnel Yr 5'!Q53),'Personnel Yr 5'!Q53=""),0,ROUND(('Personnel Yr 5'!Q53),0))</f>
        <v>0</v>
      </c>
      <c r="H243" s="84">
        <f>SUM(C243:G243)</f>
        <v>0</v>
      </c>
    </row>
    <row r="244" spans="1:8" hidden="1" x14ac:dyDescent="0.2">
      <c r="A244" s="222" t="s">
        <v>131</v>
      </c>
      <c r="B244" s="241"/>
      <c r="C244" s="84">
        <f>ROUND(('Personnel Yr 1'!Q53),0)</f>
        <v>0</v>
      </c>
      <c r="D244" s="84">
        <f>IF(OR(ISBLANK('Personnel Yr 2'!P53),'Personnel Yr 2'!P53=""),0,ROUND(('Personnel Yr 2'!P53),0))</f>
        <v>0</v>
      </c>
      <c r="E244" s="84">
        <f>IF(OR(ISBLANK('Personnel Yr 3'!P53),'Personnel Yr 3'!P53=""),0,ROUND(('Personnel Yr 3'!P53),0))</f>
        <v>0</v>
      </c>
      <c r="F244" s="84">
        <f>IF(OR(ISBLANK('Personnel Yr 4'!P53),'Personnel Yr 4'!P53=""),0,ROUND(('Personnel Yr 4'!P53),0))</f>
        <v>0</v>
      </c>
      <c r="G244" s="84">
        <f>IF(OR(ISBLANK('Personnel Yr 5'!P53),'Personnel Yr 5'!P53=""),0,ROUND(('Personnel Yr 5'!P53),0))</f>
        <v>0</v>
      </c>
      <c r="H244" s="84">
        <f>SUM(C244:G244)</f>
        <v>0</v>
      </c>
    </row>
    <row r="245" spans="1:8" hidden="1" x14ac:dyDescent="0.2">
      <c r="A245" s="775" t="str">
        <f>CONCATENATE('Personnel Yr 1'!B54, IF(OR(ISBLANK('Personnel Yr 1'!B54),'Personnel Yr 1'!B54=""),""," "),'Personnel Yr 1'!C54, " ",'Personnel Yr 1'!D54,IF(OR(ISBLANK('Personnel Yr 1'!D54),'Personnel Yr 1'!D54=""),""," "),'Personnel Yr 1'!E54," ",'Personnel Yr 1'!F54)</f>
        <v xml:space="preserve">  </v>
      </c>
      <c r="B245" s="776"/>
      <c r="C245" s="85"/>
      <c r="D245" s="86"/>
      <c r="E245" s="86"/>
      <c r="F245" s="86"/>
      <c r="G245" s="86"/>
      <c r="H245" s="87"/>
    </row>
    <row r="246" spans="1:8" hidden="1" x14ac:dyDescent="0.2">
      <c r="A246" s="222" t="s">
        <v>69</v>
      </c>
      <c r="B246" s="243">
        <f>(C246/17)*C343</f>
        <v>0</v>
      </c>
      <c r="C246" s="84">
        <f>ROUND(('Personnel Yr 1'!S54),0)</f>
        <v>0</v>
      </c>
      <c r="D246" s="84">
        <f>IF(OR(ISBLANK('Personnel Yr 2'!R54),'Personnel Yr 2'!R54=""),0,ROUND(('Personnel Yr 2'!R54),0))</f>
        <v>0</v>
      </c>
      <c r="E246" s="84">
        <f>IF(OR(ISBLANK('Personnel Yr 3'!R54),'Personnel Yr 3'!R54=""),0,ROUND(('Personnel Yr 3'!R54),0))</f>
        <v>0</v>
      </c>
      <c r="F246" s="84">
        <f>IF(OR(ISBLANK('Personnel Yr 4'!R54),'Personnel Yr 4'!R54=""),0,ROUND(('Personnel Yr 4'!R54),0))</f>
        <v>0</v>
      </c>
      <c r="G246" s="84">
        <f>IF(OR(ISBLANK('Personnel Yr 5'!R54),'Personnel Yr 5'!R54=""),0,ROUND(('Personnel Yr 5'!R54),0))</f>
        <v>0</v>
      </c>
      <c r="H246" s="84">
        <f>SUM(C246:G246)</f>
        <v>0</v>
      </c>
    </row>
    <row r="247" spans="1:8" hidden="1" x14ac:dyDescent="0.2">
      <c r="A247" s="222" t="s">
        <v>130</v>
      </c>
      <c r="B247" s="243">
        <f>(C247/17)*C346</f>
        <v>0</v>
      </c>
      <c r="C247" s="84">
        <f>ROUND(('Personnel Yr 1'!R54),0)</f>
        <v>0</v>
      </c>
      <c r="D247" s="84">
        <f>IF(OR(ISBLANK('Personnel Yr 2'!Q54),'Personnel Yr 2'!Q54=""),0,ROUND(('Personnel Yr 2'!Q54),0))</f>
        <v>0</v>
      </c>
      <c r="E247" s="84">
        <f>IF(OR(ISBLANK('Personnel Yr 3'!Q54),'Personnel Yr 3'!Q54=""),0,ROUND(('Personnel Yr 3'!Q54),0))</f>
        <v>0</v>
      </c>
      <c r="F247" s="84">
        <f>IF(OR(ISBLANK('Personnel Yr 4'!Q54),'Personnel Yr 4'!Q54=""),0,ROUND(('Personnel Yr 4'!Q54),0))</f>
        <v>0</v>
      </c>
      <c r="G247" s="84">
        <f>IF(OR(ISBLANK('Personnel Yr 5'!Q54),'Personnel Yr 5'!Q54=""),0,ROUND(('Personnel Yr 5'!Q54),0))</f>
        <v>0</v>
      </c>
      <c r="H247" s="84">
        <f>SUM(C247:G247)</f>
        <v>0</v>
      </c>
    </row>
    <row r="248" spans="1:8" hidden="1" x14ac:dyDescent="0.2">
      <c r="A248" s="222" t="s">
        <v>131</v>
      </c>
      <c r="B248" s="241"/>
      <c r="C248" s="84">
        <f>ROUND(('Personnel Yr 1'!Q54),0)</f>
        <v>0</v>
      </c>
      <c r="D248" s="84">
        <f>IF(OR(ISBLANK('Personnel Yr 2'!P54),'Personnel Yr 2'!P54=""),0,ROUND(('Personnel Yr 2'!P54),0))</f>
        <v>0</v>
      </c>
      <c r="E248" s="84">
        <f>IF(OR(ISBLANK('Personnel Yr 3'!P54),'Personnel Yr 3'!P54=""),0,ROUND(('Personnel Yr 3'!P54),0))</f>
        <v>0</v>
      </c>
      <c r="F248" s="84">
        <f>IF(OR(ISBLANK('Personnel Yr 4'!P54),'Personnel Yr 4'!P54=""),0,ROUND(('Personnel Yr 4'!P54),0))</f>
        <v>0</v>
      </c>
      <c r="G248" s="84">
        <f>IF(OR(ISBLANK('Personnel Yr 5'!P54),'Personnel Yr 5'!P54=""),0,ROUND(('Personnel Yr 5'!P54),0))</f>
        <v>0</v>
      </c>
      <c r="H248" s="84">
        <f>SUM(C248:G248)</f>
        <v>0</v>
      </c>
    </row>
    <row r="249" spans="1:8" hidden="1" x14ac:dyDescent="0.2">
      <c r="A249" s="775" t="str">
        <f>CONCATENATE('Personnel Yr 1'!B55, IF(OR(ISBLANK('Personnel Yr 1'!B55),'Personnel Yr 1'!B55=""),""," "),'Personnel Yr 1'!C55, " ",'Personnel Yr 1'!D55,IF(OR(ISBLANK('Personnel Yr 1'!D55),'Personnel Yr 1'!D55=""),""," "),'Personnel Yr 1'!E55," ",'Personnel Yr 1'!F55)</f>
        <v xml:space="preserve">  </v>
      </c>
      <c r="B249" s="776"/>
      <c r="C249" s="85"/>
      <c r="D249" s="86"/>
      <c r="E249" s="86"/>
      <c r="F249" s="86"/>
      <c r="G249" s="86"/>
      <c r="H249" s="87"/>
    </row>
    <row r="250" spans="1:8" hidden="1" x14ac:dyDescent="0.2">
      <c r="A250" s="222" t="s">
        <v>69</v>
      </c>
      <c r="B250" s="243">
        <f>(C250/17)*C350</f>
        <v>0</v>
      </c>
      <c r="C250" s="84">
        <f>ROUND(('Personnel Yr 1'!S55),0)</f>
        <v>0</v>
      </c>
      <c r="D250" s="84">
        <f>IF(OR(ISBLANK('Personnel Yr 2'!R55),'Personnel Yr 2'!R55=""),0,ROUND(('Personnel Yr 2'!R55),0))</f>
        <v>0</v>
      </c>
      <c r="E250" s="84">
        <f>IF(OR(ISBLANK('Personnel Yr 3'!R55),'Personnel Yr 3'!R55=""),0,ROUND(('Personnel Yr 3'!R55),0))</f>
        <v>0</v>
      </c>
      <c r="F250" s="84">
        <f>IF(OR(ISBLANK('Personnel Yr 4'!R55),'Personnel Yr 4'!R55=""),0,ROUND(('Personnel Yr 4'!R55),0))</f>
        <v>0</v>
      </c>
      <c r="G250" s="84">
        <f>IF(OR(ISBLANK('Personnel Yr 5'!R55),'Personnel Yr 5'!R55=""),0,ROUND(('Personnel Yr 5'!R55),0))</f>
        <v>0</v>
      </c>
      <c r="H250" s="84">
        <f>SUM(C250:G250)</f>
        <v>0</v>
      </c>
    </row>
    <row r="251" spans="1:8" hidden="1" x14ac:dyDescent="0.2">
      <c r="A251" s="222" t="s">
        <v>130</v>
      </c>
      <c r="B251" s="243">
        <f>(C251/17)*C353</f>
        <v>0</v>
      </c>
      <c r="C251" s="84">
        <f>ROUND(('Personnel Yr 1'!R55),0)</f>
        <v>0</v>
      </c>
      <c r="D251" s="84">
        <f>IF(OR(ISBLANK('Personnel Yr 2'!Q55),'Personnel Yr 2'!Q55=""),0,ROUND(('Personnel Yr 2'!Q55),0))</f>
        <v>0</v>
      </c>
      <c r="E251" s="84">
        <f>IF(OR(ISBLANK('Personnel Yr 3'!Q55),'Personnel Yr 3'!Q55=""),0,ROUND(('Personnel Yr 3'!Q55),0))</f>
        <v>0</v>
      </c>
      <c r="F251" s="84">
        <f>IF(OR(ISBLANK('Personnel Yr 4'!Q55),'Personnel Yr 4'!Q55=""),0,ROUND(('Personnel Yr 4'!Q55),0))</f>
        <v>0</v>
      </c>
      <c r="G251" s="84">
        <f>IF(OR(ISBLANK('Personnel Yr 5'!Q55),'Personnel Yr 5'!Q55=""),0,ROUND(('Personnel Yr 5'!Q55),0))</f>
        <v>0</v>
      </c>
      <c r="H251" s="84">
        <f>SUM(C251:G251)</f>
        <v>0</v>
      </c>
    </row>
    <row r="252" spans="1:8" hidden="1" x14ac:dyDescent="0.2">
      <c r="A252" s="222" t="s">
        <v>131</v>
      </c>
      <c r="B252" s="241"/>
      <c r="C252" s="84">
        <f>ROUND(('Personnel Yr 1'!Q55),0)</f>
        <v>0</v>
      </c>
      <c r="D252" s="84">
        <f>IF(OR(ISBLANK('Personnel Yr 2'!P55),'Personnel Yr 2'!P55=""),0,ROUND(('Personnel Yr 2'!P55),0))</f>
        <v>0</v>
      </c>
      <c r="E252" s="84">
        <f>IF(OR(ISBLANK('Personnel Yr 3'!P55),'Personnel Yr 3'!P55=""),0,ROUND(('Personnel Yr 3'!P55),0))</f>
        <v>0</v>
      </c>
      <c r="F252" s="84">
        <f>IF(OR(ISBLANK('Personnel Yr 4'!P55),'Personnel Yr 4'!P55=""),0,ROUND(('Personnel Yr 4'!P55),0))</f>
        <v>0</v>
      </c>
      <c r="G252" s="84">
        <f>IF(OR(ISBLANK('Personnel Yr 5'!P55),'Personnel Yr 5'!P55=""),0,ROUND(('Personnel Yr 5'!P55),0))</f>
        <v>0</v>
      </c>
      <c r="H252" s="84">
        <f>SUM(C252:G252)</f>
        <v>0</v>
      </c>
    </row>
    <row r="253" spans="1:8" hidden="1" x14ac:dyDescent="0.2">
      <c r="A253" s="775" t="str">
        <f>CONCATENATE('Personnel Yr 1'!B56, IF(OR(ISBLANK('Personnel Yr 1'!B56),'Personnel Yr 1'!B56=""),""," "),'Personnel Yr 1'!C56, " ",'Personnel Yr 1'!D56,IF(OR(ISBLANK('Personnel Yr 1'!D56),'Personnel Yr 1'!D56=""),""," "),'Personnel Yr 1'!E56," ",'Personnel Yr 1'!F56)</f>
        <v xml:space="preserve">  </v>
      </c>
      <c r="B253" s="776"/>
      <c r="C253" s="82"/>
      <c r="D253" s="88"/>
      <c r="E253" s="88"/>
      <c r="F253" s="88"/>
      <c r="G253" s="88"/>
      <c r="H253" s="89"/>
    </row>
    <row r="254" spans="1:8" hidden="1" x14ac:dyDescent="0.2">
      <c r="A254" s="222" t="s">
        <v>69</v>
      </c>
      <c r="B254" s="243">
        <f>(C254/17)*C357</f>
        <v>0</v>
      </c>
      <c r="C254" s="84">
        <f>ROUND(('Personnel Yr 1'!S56),0)</f>
        <v>0</v>
      </c>
      <c r="D254" s="84">
        <f>IF(OR(ISBLANK('Personnel Yr 2'!R56),'Personnel Yr 2'!R56=""),0,ROUND(('Personnel Yr 2'!R56),0))</f>
        <v>0</v>
      </c>
      <c r="E254" s="84">
        <f>IF(OR(ISBLANK('Personnel Yr 3'!R56),'Personnel Yr 3'!R56=""),0,ROUND(('Personnel Yr 3'!R56),0))</f>
        <v>0</v>
      </c>
      <c r="F254" s="84">
        <f>IF(OR(ISBLANK('Personnel Yr 4'!R56),'Personnel Yr 4'!R56=""),0,ROUND(('Personnel Yr 4'!R56),0))</f>
        <v>0</v>
      </c>
      <c r="G254" s="84">
        <f>IF(OR(ISBLANK('Personnel Yr 5'!R56),'Personnel Yr 5'!R56=""),0,ROUND(('Personnel Yr 5'!R56),0))</f>
        <v>0</v>
      </c>
      <c r="H254" s="84">
        <f>SUM(C254:G254)</f>
        <v>0</v>
      </c>
    </row>
    <row r="255" spans="1:8" hidden="1" x14ac:dyDescent="0.2">
      <c r="A255" s="222" t="s">
        <v>130</v>
      </c>
      <c r="B255" s="243">
        <f>(C255/17)*C360</f>
        <v>0</v>
      </c>
      <c r="C255" s="84">
        <f>ROUND(('Personnel Yr 1'!R56),0)</f>
        <v>0</v>
      </c>
      <c r="D255" s="84">
        <f>IF(OR(ISBLANK('Personnel Yr 2'!Q56),'Personnel Yr 2'!Q56=""),0,ROUND(('Personnel Yr 2'!Q56),0))</f>
        <v>0</v>
      </c>
      <c r="E255" s="84">
        <f>IF(OR(ISBLANK('Personnel Yr 3'!Q56),'Personnel Yr 3'!Q56=""),0,ROUND(('Personnel Yr 3'!Q56),0))</f>
        <v>0</v>
      </c>
      <c r="F255" s="84">
        <f>IF(OR(ISBLANK('Personnel Yr 4'!Q56),'Personnel Yr 4'!Q56=""),0,ROUND(('Personnel Yr 4'!Q56),0))</f>
        <v>0</v>
      </c>
      <c r="G255" s="84">
        <f>IF(OR(ISBLANK('Personnel Yr 5'!Q56),'Personnel Yr 5'!Q56=""),0,ROUND(('Personnel Yr 5'!Q56),0))</f>
        <v>0</v>
      </c>
      <c r="H255" s="84">
        <f>SUM(C255:G255)</f>
        <v>0</v>
      </c>
    </row>
    <row r="256" spans="1:8" hidden="1" x14ac:dyDescent="0.2">
      <c r="A256" s="222" t="s">
        <v>131</v>
      </c>
      <c r="B256" s="241"/>
      <c r="C256" s="84">
        <f>ROUND(('Personnel Yr 1'!Q56),0)</f>
        <v>0</v>
      </c>
      <c r="D256" s="84">
        <f>IF(OR(ISBLANK('Personnel Yr 2'!P56),'Personnel Yr 2'!P56=""),0,ROUND(('Personnel Yr 2'!P56),0))</f>
        <v>0</v>
      </c>
      <c r="E256" s="84">
        <f>IF(OR(ISBLANK('Personnel Yr 3'!P56),'Personnel Yr 3'!P56=""),0,ROUND(('Personnel Yr 3'!P56),0))</f>
        <v>0</v>
      </c>
      <c r="F256" s="84">
        <f>IF(OR(ISBLANK('Personnel Yr 4'!P56),'Personnel Yr 4'!P56=""),0,ROUND(('Personnel Yr 4'!P56),0))</f>
        <v>0</v>
      </c>
      <c r="G256" s="84">
        <f>IF(OR(ISBLANK('Personnel Yr 5'!P56),'Personnel Yr 5'!P56=""),0,ROUND(('Personnel Yr 5'!P56),0))</f>
        <v>0</v>
      </c>
      <c r="H256" s="84">
        <f>SUM(C256:G256)</f>
        <v>0</v>
      </c>
    </row>
    <row r="257" spans="1:8" hidden="1" x14ac:dyDescent="0.2">
      <c r="A257" s="775" t="str">
        <f>CONCATENATE('Personnel Yr 1'!B57, IF(OR(ISBLANK('Personnel Yr 1'!B57),'Personnel Yr 1'!B57=""),""," "),'Personnel Yr 1'!C57, " ",'Personnel Yr 1'!D57,IF(OR(ISBLANK('Personnel Yr 1'!D57),'Personnel Yr 1'!D57=""),""," "),'Personnel Yr 1'!E57," ",'Personnel Yr 1'!F57)</f>
        <v xml:space="preserve">  </v>
      </c>
      <c r="B257" s="776"/>
      <c r="C257" s="85"/>
      <c r="D257" s="86"/>
      <c r="E257" s="86"/>
      <c r="F257" s="86"/>
      <c r="G257" s="86"/>
      <c r="H257" s="87"/>
    </row>
    <row r="258" spans="1:8" hidden="1" x14ac:dyDescent="0.2">
      <c r="A258" s="222" t="s">
        <v>69</v>
      </c>
      <c r="B258" s="243">
        <f>(C258/17)*C364</f>
        <v>0</v>
      </c>
      <c r="C258" s="84">
        <f>ROUND(('Personnel Yr 1'!S57),0)</f>
        <v>0</v>
      </c>
      <c r="D258" s="84">
        <f>IF(OR(ISBLANK('Personnel Yr 2'!R57),'Personnel Yr 2'!R57=""),0,ROUND(('Personnel Yr 2'!R57),0))</f>
        <v>0</v>
      </c>
      <c r="E258" s="84">
        <f>IF(OR(ISBLANK('Personnel Yr 3'!R57),'Personnel Yr 3'!R57=""),0,ROUND(('Personnel Yr 3'!R57),0))</f>
        <v>0</v>
      </c>
      <c r="F258" s="84">
        <f>IF(OR(ISBLANK('Personnel Yr 4'!R57),'Personnel Yr 4'!R57=""),0,ROUND(('Personnel Yr 4'!R57),0))</f>
        <v>0</v>
      </c>
      <c r="G258" s="84">
        <f>IF(OR(ISBLANK('Personnel Yr 5'!R57),'Personnel Yr 5'!R57=""),0,ROUND(('Personnel Yr 5'!R57),0))</f>
        <v>0</v>
      </c>
      <c r="H258" s="84">
        <f>SUM(C258:G258)</f>
        <v>0</v>
      </c>
    </row>
    <row r="259" spans="1:8" hidden="1" x14ac:dyDescent="0.2">
      <c r="A259" s="222" t="s">
        <v>130</v>
      </c>
      <c r="B259" s="243">
        <f>(C259/17)*C367</f>
        <v>0</v>
      </c>
      <c r="C259" s="84">
        <f>ROUND(('Personnel Yr 1'!R57),0)</f>
        <v>0</v>
      </c>
      <c r="D259" s="84">
        <f>IF(OR(ISBLANK('Personnel Yr 2'!Q57),'Personnel Yr 2'!Q57=""),0,ROUND(('Personnel Yr 2'!Q57),0))</f>
        <v>0</v>
      </c>
      <c r="E259" s="84">
        <f>IF(OR(ISBLANK('Personnel Yr 3'!Q57),'Personnel Yr 3'!Q57=""),0,ROUND(('Personnel Yr 3'!Q57),0))</f>
        <v>0</v>
      </c>
      <c r="F259" s="84">
        <f>IF(OR(ISBLANK('Personnel Yr 4'!Q57),'Personnel Yr 4'!Q57=""),0,ROUND(('Personnel Yr 4'!Q57),0))</f>
        <v>0</v>
      </c>
      <c r="G259" s="84">
        <f>IF(OR(ISBLANK('Personnel Yr 5'!Q57),'Personnel Yr 5'!Q57=""),0,ROUND(('Personnel Yr 5'!Q57),0))</f>
        <v>0</v>
      </c>
      <c r="H259" s="84">
        <f>SUM(C259:G259)</f>
        <v>0</v>
      </c>
    </row>
    <row r="260" spans="1:8" hidden="1" x14ac:dyDescent="0.2">
      <c r="A260" s="222" t="s">
        <v>131</v>
      </c>
      <c r="B260" s="241"/>
      <c r="C260" s="84">
        <f>ROUND(('Personnel Yr 1'!Q57),0)</f>
        <v>0</v>
      </c>
      <c r="D260" s="84">
        <f>IF(OR(ISBLANK('Personnel Yr 2'!P57),'Personnel Yr 2'!P57=""),0,ROUND(('Personnel Yr 2'!P57),0))</f>
        <v>0</v>
      </c>
      <c r="E260" s="84">
        <f>IF(OR(ISBLANK('Personnel Yr 3'!P57),'Personnel Yr 3'!P57=""),0,ROUND(('Personnel Yr 3'!P57),0))</f>
        <v>0</v>
      </c>
      <c r="F260" s="84">
        <f>IF(OR(ISBLANK('Personnel Yr 4'!P57),'Personnel Yr 4'!P57=""),0,ROUND(('Personnel Yr 4'!P57),0))</f>
        <v>0</v>
      </c>
      <c r="G260" s="84">
        <f>IF(OR(ISBLANK('Personnel Yr 5'!P57),'Personnel Yr 5'!P57=""),0,ROUND(('Personnel Yr 5'!P57),0))</f>
        <v>0</v>
      </c>
      <c r="H260" s="84">
        <f>SUM(C260:G260)</f>
        <v>0</v>
      </c>
    </row>
    <row r="261" spans="1:8" hidden="1" x14ac:dyDescent="0.2">
      <c r="A261" s="775" t="str">
        <f>CONCATENATE('Personnel Yr 1'!B58, IF(OR(ISBLANK('Personnel Yr 1'!B58),'Personnel Yr 1'!B58=""),""," "),'Personnel Yr 1'!C58, " ",'Personnel Yr 1'!D58,IF(OR(ISBLANK('Personnel Yr 1'!D58),'Personnel Yr 1'!D58=""),""," "),'Personnel Yr 1'!E58," ",'Personnel Yr 1'!F58)</f>
        <v xml:space="preserve">  </v>
      </c>
      <c r="B261" s="776"/>
      <c r="C261" s="85"/>
      <c r="D261" s="86"/>
      <c r="E261" s="86"/>
      <c r="F261" s="86"/>
      <c r="G261" s="86"/>
      <c r="H261" s="87"/>
    </row>
    <row r="262" spans="1:8" hidden="1" x14ac:dyDescent="0.2">
      <c r="A262" s="222" t="s">
        <v>69</v>
      </c>
      <c r="B262" s="243">
        <f>(C262/17)*C371</f>
        <v>0</v>
      </c>
      <c r="C262" s="84">
        <f>ROUND(('Personnel Yr 1'!S58),0)</f>
        <v>0</v>
      </c>
      <c r="D262" s="84">
        <f>IF(OR(ISBLANK('Personnel Yr 2'!R58),'Personnel Yr 2'!R58=""),0,ROUND(('Personnel Yr 2'!R58),0))</f>
        <v>0</v>
      </c>
      <c r="E262" s="84">
        <f>IF(OR(ISBLANK('Personnel Yr 3'!R58),'Personnel Yr 3'!R58=""),0,ROUND(('Personnel Yr 3'!R58),0))</f>
        <v>0</v>
      </c>
      <c r="F262" s="84">
        <f>IF(OR(ISBLANK('Personnel Yr 4'!R58),'Personnel Yr 4'!R58=""),0,ROUND(('Personnel Yr 4'!R58),0))</f>
        <v>0</v>
      </c>
      <c r="G262" s="84">
        <f>IF(OR(ISBLANK('Personnel Yr 5'!R58),'Personnel Yr 5'!R58=""),0,ROUND(('Personnel Yr 5'!R58),0))</f>
        <v>0</v>
      </c>
      <c r="H262" s="84">
        <f t="shared" ref="H262:H268" si="14">SUM(C262:G262)</f>
        <v>0</v>
      </c>
    </row>
    <row r="263" spans="1:8" hidden="1" x14ac:dyDescent="0.2">
      <c r="A263" s="222" t="s">
        <v>130</v>
      </c>
      <c r="B263" s="243">
        <f>(C263/17)*C374</f>
        <v>0</v>
      </c>
      <c r="C263" s="84">
        <f>ROUND(('Personnel Yr 1'!R58),0)</f>
        <v>0</v>
      </c>
      <c r="D263" s="84">
        <f>IF(OR(ISBLANK('Personnel Yr 2'!Q58),'Personnel Yr 2'!Q58=""),0,ROUND(('Personnel Yr 2'!Q58),0))</f>
        <v>0</v>
      </c>
      <c r="E263" s="84">
        <f>IF(OR(ISBLANK('Personnel Yr 3'!Q58),'Personnel Yr 3'!Q58=""),0,ROUND(('Personnel Yr 3'!Q58),0))</f>
        <v>0</v>
      </c>
      <c r="F263" s="84">
        <f>IF(OR(ISBLANK('Personnel Yr 4'!Q58),'Personnel Yr 4'!Q58=""),0,ROUND(('Personnel Yr 4'!Q58),0))</f>
        <v>0</v>
      </c>
      <c r="G263" s="84">
        <f>IF(OR(ISBLANK('Personnel Yr 5'!Q58),'Personnel Yr 5'!Q58=""),0,ROUND(('Personnel Yr 5'!Q58),0))</f>
        <v>0</v>
      </c>
      <c r="H263" s="84">
        <f t="shared" si="14"/>
        <v>0</v>
      </c>
    </row>
    <row r="264" spans="1:8" ht="13.5" hidden="1" thickBot="1" x14ac:dyDescent="0.25">
      <c r="A264" s="223" t="s">
        <v>131</v>
      </c>
      <c r="B264" s="244"/>
      <c r="C264" s="122">
        <f>ROUND(('Personnel Yr 1'!Q58),0)</f>
        <v>0</v>
      </c>
      <c r="D264" s="122">
        <f>IF(OR(ISBLANK('Personnel Yr 2'!P58),'Personnel Yr 2'!P58=""),0,ROUND(('Personnel Yr 2'!P58),0))</f>
        <v>0</v>
      </c>
      <c r="E264" s="122">
        <f>IF(OR(ISBLANK('Personnel Yr 3'!P58),'Personnel Yr 3'!P58=""),0,ROUND(('Personnel Yr 3'!P58),0))</f>
        <v>0</v>
      </c>
      <c r="F264" s="122">
        <f>IF(OR(ISBLANK('Personnel Yr 4'!P58),'Personnel Yr 4'!P58=""),0,ROUND(('Personnel Yr 4'!P58),0))</f>
        <v>0</v>
      </c>
      <c r="G264" s="122">
        <f>IF(OR(ISBLANK('Personnel Yr 5'!P58),'Personnel Yr 5'!P58=""),0,ROUND(('Personnel Yr 5'!P58),0))</f>
        <v>0</v>
      </c>
      <c r="H264" s="122">
        <f t="shared" si="14"/>
        <v>0</v>
      </c>
    </row>
    <row r="265" spans="1:8" ht="13.5" hidden="1" customHeight="1" x14ac:dyDescent="0.2">
      <c r="A265" s="782" t="s">
        <v>246</v>
      </c>
      <c r="B265" s="783"/>
      <c r="C265" s="121">
        <f t="shared" ref="C265:G266" si="15">SUM(C262,C258,C254,C250,C246,C242,C238,C234,C230,C226,C222,C218,C214,C210,C206)</f>
        <v>0</v>
      </c>
      <c r="D265" s="121">
        <f t="shared" si="15"/>
        <v>0</v>
      </c>
      <c r="E265" s="121">
        <f t="shared" si="15"/>
        <v>0</v>
      </c>
      <c r="F265" s="121">
        <f t="shared" si="15"/>
        <v>0</v>
      </c>
      <c r="G265" s="121">
        <f t="shared" si="15"/>
        <v>0</v>
      </c>
      <c r="H265" s="129">
        <f t="shared" si="14"/>
        <v>0</v>
      </c>
    </row>
    <row r="266" spans="1:8" ht="13.5" hidden="1" customHeight="1" x14ac:dyDescent="0.2">
      <c r="A266" s="771" t="s">
        <v>247</v>
      </c>
      <c r="B266" s="772"/>
      <c r="C266" s="90">
        <f t="shared" si="15"/>
        <v>0</v>
      </c>
      <c r="D266" s="90">
        <f t="shared" si="15"/>
        <v>0</v>
      </c>
      <c r="E266" s="90">
        <f t="shared" si="15"/>
        <v>0</v>
      </c>
      <c r="F266" s="90">
        <f t="shared" si="15"/>
        <v>0</v>
      </c>
      <c r="G266" s="90">
        <f t="shared" si="15"/>
        <v>0</v>
      </c>
      <c r="H266" s="91">
        <f t="shared" si="14"/>
        <v>0</v>
      </c>
    </row>
    <row r="267" spans="1:8" ht="13.5" hidden="1" customHeight="1" x14ac:dyDescent="0.2">
      <c r="A267" s="771" t="s">
        <v>248</v>
      </c>
      <c r="B267" s="772"/>
      <c r="C267" s="90">
        <f>SUM(C236,C240,C244,C248,C252,C256,C260,C264,C232,C228,C224,C220,C216,C212,C208)</f>
        <v>0</v>
      </c>
      <c r="D267" s="90">
        <f>SUM(D236,D240,D244,D248,D252,D256,D260,D264,D232,D228,D224,D220,D216,D212,D208)</f>
        <v>0</v>
      </c>
      <c r="E267" s="90">
        <f>SUM(E236,E240,E244,E248,E252,E256,E260,E264,E232,E228,E224,E220,E216,E212,E208)</f>
        <v>0</v>
      </c>
      <c r="F267" s="90">
        <f>SUM(F236,F240,F244,F248,F252,F256,F260,F264,F232,F228,F224,F220,F216,F212,F208)</f>
        <v>0</v>
      </c>
      <c r="G267" s="90">
        <f>SUM(G236,G240,G244,G248,G252,G256,G260,G264,G232,G228,G224,G220,G216,G212,G208)</f>
        <v>0</v>
      </c>
      <c r="H267" s="91">
        <f t="shared" si="14"/>
        <v>0</v>
      </c>
    </row>
    <row r="268" spans="1:8" ht="13.5" hidden="1" customHeight="1" x14ac:dyDescent="0.2">
      <c r="A268" s="773" t="s">
        <v>249</v>
      </c>
      <c r="B268" s="774"/>
      <c r="C268" s="92">
        <f>SUM(C265,C266,C267)</f>
        <v>0</v>
      </c>
      <c r="D268" s="92">
        <f>SUM(D265,D266,D267)</f>
        <v>0</v>
      </c>
      <c r="E268" s="92">
        <f>SUM(E265,E266,E267)</f>
        <v>0</v>
      </c>
      <c r="F268" s="92">
        <f>SUM(F265,F266,F267)</f>
        <v>0</v>
      </c>
      <c r="G268" s="92">
        <f>SUM(G265,G266,G267)</f>
        <v>0</v>
      </c>
      <c r="H268" s="92">
        <f t="shared" si="14"/>
        <v>0</v>
      </c>
    </row>
    <row r="269" spans="1:8" hidden="1" x14ac:dyDescent="0.2">
      <c r="A269" s="186"/>
      <c r="B269" s="186"/>
      <c r="C269" s="114"/>
      <c r="D269" s="114"/>
      <c r="E269" s="114"/>
      <c r="F269" s="114"/>
      <c r="G269" s="114"/>
      <c r="H269" s="114"/>
    </row>
    <row r="270" spans="1:8" ht="15" hidden="1" x14ac:dyDescent="0.25">
      <c r="A270" s="779" t="s">
        <v>244</v>
      </c>
      <c r="B270" s="779"/>
      <c r="C270" s="95"/>
      <c r="D270" s="95"/>
      <c r="E270" s="95"/>
      <c r="F270" s="95"/>
      <c r="G270" s="95"/>
      <c r="H270" s="95"/>
    </row>
    <row r="271" spans="1:8" hidden="1" x14ac:dyDescent="0.2">
      <c r="A271" s="780" t="str">
        <f>CONCATENATE('Personnel Yr 1'!B44, IF(OR(ISBLANK('Personnel Yr 1'!B44),'Personnel Yr 1'!B44=""),""," "),'Personnel Yr 1'!C44, " ",'Personnel Yr 1'!D44,IF(OR(ISBLANK('Personnel Yr 1'!D44),'Personnel Yr 1'!D44=""),""," "),'Personnel Yr 1'!E44," ",'Personnel Yr 1'!F44)</f>
        <v xml:space="preserve">  </v>
      </c>
      <c r="B271" s="780"/>
      <c r="C271" s="96" t="s">
        <v>35</v>
      </c>
      <c r="D271" s="96" t="s">
        <v>36</v>
      </c>
      <c r="E271" s="96" t="s">
        <v>37</v>
      </c>
      <c r="F271" s="96" t="s">
        <v>38</v>
      </c>
      <c r="G271" s="96" t="s">
        <v>39</v>
      </c>
      <c r="H271" s="83" t="s">
        <v>40</v>
      </c>
    </row>
    <row r="272" spans="1:8" hidden="1" x14ac:dyDescent="0.2">
      <c r="A272" s="97" t="str">
        <f>IF(ISBLANK('Personnel Yr 1'!G44),"",'Personnel Yr 1'!G44)</f>
        <v/>
      </c>
      <c r="B272" s="98" t="s">
        <v>139</v>
      </c>
      <c r="C272" s="99">
        <f>SUM('Personnel Yr 1'!K44)</f>
        <v>0</v>
      </c>
      <c r="D272" s="99">
        <f>SUM('Personnel Yr 2'!K44)</f>
        <v>0</v>
      </c>
      <c r="E272" s="99">
        <f>SUM('Personnel Yr 3'!K44)</f>
        <v>0</v>
      </c>
      <c r="F272" s="99">
        <f>SUM('Personnel Yr 4'!K44)</f>
        <v>0</v>
      </c>
      <c r="G272" s="99">
        <f>SUM('Personnel Yr 5'!K44)</f>
        <v>0</v>
      </c>
      <c r="H272" s="99">
        <f>SUM(C272:G272)</f>
        <v>0</v>
      </c>
    </row>
    <row r="273" spans="1:8" hidden="1" x14ac:dyDescent="0.2">
      <c r="A273" s="100"/>
      <c r="B273" s="143" t="s">
        <v>140</v>
      </c>
      <c r="C273" s="144">
        <f>C272/3.5</f>
        <v>0</v>
      </c>
      <c r="D273" s="144">
        <f>D272/3.5</f>
        <v>0</v>
      </c>
      <c r="E273" s="144">
        <f>E272/3.5</f>
        <v>0</v>
      </c>
      <c r="F273" s="144">
        <f>F272/3.5</f>
        <v>0</v>
      </c>
      <c r="G273" s="144">
        <f>G272/3.5</f>
        <v>0</v>
      </c>
      <c r="H273" s="145"/>
    </row>
    <row r="274" spans="1:8" hidden="1" x14ac:dyDescent="0.2">
      <c r="A274" s="101"/>
      <c r="B274" s="102" t="s">
        <v>141</v>
      </c>
      <c r="C274" s="99">
        <f>SUM('Personnel Yr 1'!J44)</f>
        <v>0</v>
      </c>
      <c r="D274" s="99">
        <f>SUM('Personnel Yr 2'!J44)</f>
        <v>0</v>
      </c>
      <c r="E274" s="99">
        <f>SUM('Personnel Yr 3'!J44)</f>
        <v>0</v>
      </c>
      <c r="F274" s="99">
        <f>SUM('Personnel Yr 4'!J44)</f>
        <v>0</v>
      </c>
      <c r="G274" s="99">
        <f>SUM('Personnel Yr 5'!J44)</f>
        <v>0</v>
      </c>
      <c r="H274" s="99">
        <f>SUM(C274:G274)</f>
        <v>0</v>
      </c>
    </row>
    <row r="275" spans="1:8" hidden="1" x14ac:dyDescent="0.2">
      <c r="A275" s="101"/>
      <c r="B275" s="146" t="s">
        <v>142</v>
      </c>
      <c r="C275" s="147">
        <f>C274/8.5</f>
        <v>0</v>
      </c>
      <c r="D275" s="147">
        <f>D274/8.5</f>
        <v>0</v>
      </c>
      <c r="E275" s="147">
        <f>E274/8.5</f>
        <v>0</v>
      </c>
      <c r="F275" s="147">
        <f>F274/8.5</f>
        <v>0</v>
      </c>
      <c r="G275" s="147">
        <f>G274/8.5</f>
        <v>0</v>
      </c>
      <c r="H275" s="148"/>
    </row>
    <row r="276" spans="1:8" hidden="1" x14ac:dyDescent="0.2">
      <c r="A276" s="101"/>
      <c r="B276" s="104" t="s">
        <v>143</v>
      </c>
      <c r="C276" s="99">
        <f>SUM('Personnel Yr 1'!I44)</f>
        <v>0</v>
      </c>
      <c r="D276" s="99">
        <f>SUM('Personnel Yr 2'!I44)</f>
        <v>0</v>
      </c>
      <c r="E276" s="99">
        <f>SUM('Personnel Yr 3'!I44)</f>
        <v>0</v>
      </c>
      <c r="F276" s="99">
        <f>SUM('Personnel Yr 4'!I44)</f>
        <v>0</v>
      </c>
      <c r="G276" s="99">
        <f>SUM('Personnel Yr 5'!I44)</f>
        <v>0</v>
      </c>
      <c r="H276" s="99">
        <f>SUM(C276:G276)</f>
        <v>0</v>
      </c>
    </row>
    <row r="277" spans="1:8" hidden="1" x14ac:dyDescent="0.2">
      <c r="A277" s="101"/>
      <c r="B277" s="146" t="s">
        <v>144</v>
      </c>
      <c r="C277" s="147">
        <f>C276/12</f>
        <v>0</v>
      </c>
      <c r="D277" s="147">
        <f>D276/12</f>
        <v>0</v>
      </c>
      <c r="E277" s="147">
        <f>E276/12</f>
        <v>0</v>
      </c>
      <c r="F277" s="147">
        <f>F276/12</f>
        <v>0</v>
      </c>
      <c r="G277" s="147">
        <f>G276/12</f>
        <v>0</v>
      </c>
      <c r="H277" s="149"/>
    </row>
    <row r="278" spans="1:8" hidden="1" x14ac:dyDescent="0.2">
      <c r="A278" s="777" t="str">
        <f>CONCATENATE('Personnel Yr 1'!B45, IF(OR(ISBLANK('Personnel Yr 1'!B45),'Personnel Yr 1'!B45=""),""," "),'Personnel Yr 1'!C45, " ",'Personnel Yr 1'!D45,IF(OR(ISBLANK('Personnel Yr 1'!D45),'Personnel Yr 1'!D45=""),""," "),'Personnel Yr 1'!E45," ",'Personnel Yr 1'!F45)</f>
        <v xml:space="preserve">  </v>
      </c>
      <c r="B278" s="778"/>
      <c r="C278" s="105"/>
      <c r="D278" s="105"/>
      <c r="E278" s="105"/>
      <c r="F278" s="105"/>
      <c r="G278" s="105"/>
      <c r="H278" s="103"/>
    </row>
    <row r="279" spans="1:8" hidden="1" x14ac:dyDescent="0.2">
      <c r="A279" s="97" t="str">
        <f>IF(ISBLANK('Personnel Yr 1'!G45),"",'Personnel Yr 1'!G45)</f>
        <v/>
      </c>
      <c r="B279" s="98" t="s">
        <v>139</v>
      </c>
      <c r="C279" s="99">
        <f>SUM('Personnel Yr 1'!K45)</f>
        <v>0</v>
      </c>
      <c r="D279" s="99">
        <f>SUM('Personnel Yr 2'!K45)</f>
        <v>0</v>
      </c>
      <c r="E279" s="99">
        <f>SUM('Personnel Yr 3'!K45)</f>
        <v>0</v>
      </c>
      <c r="F279" s="99">
        <f>SUM('Personnel Yr 4'!K45)</f>
        <v>0</v>
      </c>
      <c r="G279" s="99">
        <f>SUM('Personnel Yr 5'!K45)</f>
        <v>0</v>
      </c>
      <c r="H279" s="99">
        <f>SUM(C279:G279)</f>
        <v>0</v>
      </c>
    </row>
    <row r="280" spans="1:8" hidden="1" x14ac:dyDescent="0.2">
      <c r="A280" s="100"/>
      <c r="B280" s="150" t="s">
        <v>140</v>
      </c>
      <c r="C280" s="144">
        <f>C279/3.5</f>
        <v>0</v>
      </c>
      <c r="D280" s="144">
        <f>D279/3.5</f>
        <v>0</v>
      </c>
      <c r="E280" s="144">
        <f>E279/3.5</f>
        <v>0</v>
      </c>
      <c r="F280" s="144">
        <f>F279/3.5</f>
        <v>0</v>
      </c>
      <c r="G280" s="144">
        <f>G279/3.5</f>
        <v>0</v>
      </c>
      <c r="H280" s="148"/>
    </row>
    <row r="281" spans="1:8" hidden="1" x14ac:dyDescent="0.2">
      <c r="A281" s="101"/>
      <c r="B281" s="102" t="s">
        <v>141</v>
      </c>
      <c r="C281" s="99">
        <f>SUM('Personnel Yr 1'!J45)</f>
        <v>0</v>
      </c>
      <c r="D281" s="99">
        <f>SUM('Personnel Yr 2'!J45)</f>
        <v>0</v>
      </c>
      <c r="E281" s="99">
        <f>SUM('Personnel Yr 3'!J45)</f>
        <v>0</v>
      </c>
      <c r="F281" s="99">
        <f>SUM('Personnel Yr 4'!J45)</f>
        <v>0</v>
      </c>
      <c r="G281" s="99">
        <f>SUM('Personnel Yr 5'!J45)</f>
        <v>0</v>
      </c>
      <c r="H281" s="99">
        <f>SUM(C281:G281)</f>
        <v>0</v>
      </c>
    </row>
    <row r="282" spans="1:8" hidden="1" x14ac:dyDescent="0.2">
      <c r="A282" s="101"/>
      <c r="B282" s="146" t="s">
        <v>142</v>
      </c>
      <c r="C282" s="147">
        <f>C281/8.5</f>
        <v>0</v>
      </c>
      <c r="D282" s="147">
        <f>D281/8.5</f>
        <v>0</v>
      </c>
      <c r="E282" s="147">
        <f>E281/8.5</f>
        <v>0</v>
      </c>
      <c r="F282" s="147">
        <f>F281/8.5</f>
        <v>0</v>
      </c>
      <c r="G282" s="147">
        <f>G281/8.5</f>
        <v>0</v>
      </c>
      <c r="H282" s="148"/>
    </row>
    <row r="283" spans="1:8" hidden="1" x14ac:dyDescent="0.2">
      <c r="A283" s="106"/>
      <c r="B283" s="104" t="s">
        <v>143</v>
      </c>
      <c r="C283" s="99">
        <f>SUM('Personnel Yr 1'!I45)</f>
        <v>0</v>
      </c>
      <c r="D283" s="99">
        <f>SUM('Personnel Yr 2'!I45)</f>
        <v>0</v>
      </c>
      <c r="E283" s="99">
        <f>SUM('Personnel Yr 3'!I45)</f>
        <v>0</v>
      </c>
      <c r="F283" s="99">
        <f>SUM('Personnel Yr 4'!I45)</f>
        <v>0</v>
      </c>
      <c r="G283" s="99">
        <f>SUM('Personnel Yr 5'!I45)</f>
        <v>0</v>
      </c>
      <c r="H283" s="99">
        <f>SUM(C283:G283)</f>
        <v>0</v>
      </c>
    </row>
    <row r="284" spans="1:8" hidden="1" x14ac:dyDescent="0.2">
      <c r="A284" s="101"/>
      <c r="B284" s="146" t="s">
        <v>144</v>
      </c>
      <c r="C284" s="147">
        <f>C283/12</f>
        <v>0</v>
      </c>
      <c r="D284" s="147">
        <f>D283/12</f>
        <v>0</v>
      </c>
      <c r="E284" s="147">
        <f>E283/12</f>
        <v>0</v>
      </c>
      <c r="F284" s="147">
        <f>F283/12</f>
        <v>0</v>
      </c>
      <c r="G284" s="147">
        <f>G283/12</f>
        <v>0</v>
      </c>
      <c r="H284" s="149"/>
    </row>
    <row r="285" spans="1:8" hidden="1" x14ac:dyDescent="0.2">
      <c r="A285" s="777" t="str">
        <f>CONCATENATE('Personnel Yr 1'!B46, IF(OR(ISBLANK('Personnel Yr 1'!B46),'Personnel Yr 1'!B46=""),""," "),'Personnel Yr 1'!C46, " ",'Personnel Yr 1'!D46,IF(OR(ISBLANK('Personnel Yr 1'!D46),'Personnel Yr 1'!D46=""),""," "),'Personnel Yr 1'!E46," ",'Personnel Yr 1'!F46)</f>
        <v xml:space="preserve">  </v>
      </c>
      <c r="B285" s="778"/>
      <c r="C285" s="105"/>
      <c r="D285" s="105"/>
      <c r="E285" s="105"/>
      <c r="F285" s="105"/>
      <c r="G285" s="105"/>
      <c r="H285" s="103"/>
    </row>
    <row r="286" spans="1:8" hidden="1" x14ac:dyDescent="0.2">
      <c r="A286" s="100" t="str">
        <f>IF(ISBLANK('Personnel Yr 1'!G46),"",'Personnel Yr 1'!G46)</f>
        <v/>
      </c>
      <c r="B286" s="98" t="s">
        <v>139</v>
      </c>
      <c r="C286" s="99">
        <f>SUM('Personnel Yr 1'!K46)</f>
        <v>0</v>
      </c>
      <c r="D286" s="99">
        <f>SUM('Personnel Yr 2'!K46)</f>
        <v>0</v>
      </c>
      <c r="E286" s="99">
        <f>SUM('Personnel Yr 3'!K46)</f>
        <v>0</v>
      </c>
      <c r="F286" s="99">
        <f>SUM('Personnel Yr 4'!K46)</f>
        <v>0</v>
      </c>
      <c r="G286" s="99">
        <f>SUM('Personnel Yr 5'!K46)</f>
        <v>0</v>
      </c>
      <c r="H286" s="99">
        <f>SUM(C286:G286)</f>
        <v>0</v>
      </c>
    </row>
    <row r="287" spans="1:8" hidden="1" x14ac:dyDescent="0.2">
      <c r="A287" s="100"/>
      <c r="B287" s="150" t="s">
        <v>140</v>
      </c>
      <c r="C287" s="144">
        <f>C286/3.5</f>
        <v>0</v>
      </c>
      <c r="D287" s="144">
        <f>D286/3.5</f>
        <v>0</v>
      </c>
      <c r="E287" s="144">
        <f>E286/3.5</f>
        <v>0</v>
      </c>
      <c r="F287" s="144">
        <f>F286/3.5</f>
        <v>0</v>
      </c>
      <c r="G287" s="144">
        <f>G286/3.5</f>
        <v>0</v>
      </c>
      <c r="H287" s="148"/>
    </row>
    <row r="288" spans="1:8" hidden="1" x14ac:dyDescent="0.2">
      <c r="A288" s="101"/>
      <c r="B288" s="102" t="s">
        <v>141</v>
      </c>
      <c r="C288" s="99">
        <f>SUM('Personnel Yr 1'!J46)</f>
        <v>0</v>
      </c>
      <c r="D288" s="99">
        <f>SUM('Personnel Yr 2'!J46)</f>
        <v>0</v>
      </c>
      <c r="E288" s="99">
        <f>SUM('Personnel Yr 3'!J46)</f>
        <v>0</v>
      </c>
      <c r="F288" s="99">
        <f>SUM('Personnel Yr 4'!J46)</f>
        <v>0</v>
      </c>
      <c r="G288" s="99">
        <f>SUM('Personnel Yr 5'!J46)</f>
        <v>0</v>
      </c>
      <c r="H288" s="99">
        <f>SUM(C288:G288)</f>
        <v>0</v>
      </c>
    </row>
    <row r="289" spans="1:8" hidden="1" x14ac:dyDescent="0.2">
      <c r="A289" s="101"/>
      <c r="B289" s="146" t="s">
        <v>142</v>
      </c>
      <c r="C289" s="147">
        <f>C288/8.5</f>
        <v>0</v>
      </c>
      <c r="D289" s="147">
        <f>D288/8.5</f>
        <v>0</v>
      </c>
      <c r="E289" s="147">
        <f>E288/8.5</f>
        <v>0</v>
      </c>
      <c r="F289" s="147">
        <f>F288/8.5</f>
        <v>0</v>
      </c>
      <c r="G289" s="147">
        <f>G288/8.5</f>
        <v>0</v>
      </c>
      <c r="H289" s="148"/>
    </row>
    <row r="290" spans="1:8" hidden="1" x14ac:dyDescent="0.2">
      <c r="A290" s="106"/>
      <c r="B290" s="104" t="s">
        <v>143</v>
      </c>
      <c r="C290" s="99">
        <f>SUM('Personnel Yr 1'!I46)</f>
        <v>0</v>
      </c>
      <c r="D290" s="99">
        <f>SUM('Personnel Yr 2'!I46)</f>
        <v>0</v>
      </c>
      <c r="E290" s="99">
        <f>SUM('Personnel Yr 3'!I46)</f>
        <v>0</v>
      </c>
      <c r="F290" s="99">
        <f>SUM('Personnel Yr 4'!I46)</f>
        <v>0</v>
      </c>
      <c r="G290" s="99">
        <f>SUM('Personnel Yr 5'!I46)</f>
        <v>0</v>
      </c>
      <c r="H290" s="99">
        <f>SUM(C290:G290)</f>
        <v>0</v>
      </c>
    </row>
    <row r="291" spans="1:8" hidden="1" x14ac:dyDescent="0.2">
      <c r="A291" s="101"/>
      <c r="B291" s="146" t="s">
        <v>144</v>
      </c>
      <c r="C291" s="147">
        <f>C290/12</f>
        <v>0</v>
      </c>
      <c r="D291" s="147">
        <f>D290/12</f>
        <v>0</v>
      </c>
      <c r="E291" s="147">
        <f>E290/12</f>
        <v>0</v>
      </c>
      <c r="F291" s="147">
        <f>F290/12</f>
        <v>0</v>
      </c>
      <c r="G291" s="147">
        <f>G290/12</f>
        <v>0</v>
      </c>
      <c r="H291" s="149"/>
    </row>
    <row r="292" spans="1:8" hidden="1" x14ac:dyDescent="0.2">
      <c r="A292" s="777" t="str">
        <f>CONCATENATE('Personnel Yr 1'!B47, IF(OR(ISBLANK('Personnel Yr 1'!B47),'Personnel Yr 1'!B47=""),""," "),'Personnel Yr 1'!C47, " ",'Personnel Yr 1'!D47,IF(OR(ISBLANK('Personnel Yr 1'!D47),'Personnel Yr 1'!D47=""),""," "),'Personnel Yr 1'!E47," ",'Personnel Yr 1'!F47)</f>
        <v xml:space="preserve">  </v>
      </c>
      <c r="B292" s="778"/>
      <c r="C292" s="105"/>
      <c r="D292" s="105"/>
      <c r="E292" s="105"/>
      <c r="F292" s="105"/>
      <c r="G292" s="105"/>
      <c r="H292" s="103"/>
    </row>
    <row r="293" spans="1:8" hidden="1" x14ac:dyDescent="0.2">
      <c r="A293" s="100" t="str">
        <f>IF(ISBLANK('Personnel Yr 1'!G47),"",'Personnel Yr 1'!G47)</f>
        <v/>
      </c>
      <c r="B293" s="98" t="s">
        <v>139</v>
      </c>
      <c r="C293" s="99">
        <f>SUM('Personnel Yr 1'!K47)</f>
        <v>0</v>
      </c>
      <c r="D293" s="99">
        <f>SUM('Personnel Yr 2'!K47)</f>
        <v>0</v>
      </c>
      <c r="E293" s="99">
        <f>SUM('Personnel Yr 3'!K47)</f>
        <v>0</v>
      </c>
      <c r="F293" s="99">
        <f>SUM('Personnel Yr 4'!K47)</f>
        <v>0</v>
      </c>
      <c r="G293" s="99">
        <f>SUM('Personnel Yr 5'!K47)</f>
        <v>0</v>
      </c>
      <c r="H293" s="99">
        <f>SUM(C293:G293)</f>
        <v>0</v>
      </c>
    </row>
    <row r="294" spans="1:8" hidden="1" x14ac:dyDescent="0.2">
      <c r="A294" s="100"/>
      <c r="B294" s="150" t="s">
        <v>140</v>
      </c>
      <c r="C294" s="144">
        <f>C293/3.5</f>
        <v>0</v>
      </c>
      <c r="D294" s="144">
        <f>D293/3.5</f>
        <v>0</v>
      </c>
      <c r="E294" s="144">
        <f>E293/3.5</f>
        <v>0</v>
      </c>
      <c r="F294" s="144">
        <f>F293/3.5</f>
        <v>0</v>
      </c>
      <c r="G294" s="144">
        <f>G293/3.5</f>
        <v>0</v>
      </c>
      <c r="H294" s="148"/>
    </row>
    <row r="295" spans="1:8" hidden="1" x14ac:dyDescent="0.2">
      <c r="A295" s="101"/>
      <c r="B295" s="102" t="s">
        <v>141</v>
      </c>
      <c r="C295" s="99">
        <f>SUM('Personnel Yr 1'!J47)</f>
        <v>0</v>
      </c>
      <c r="D295" s="99">
        <f>SUM('Personnel Yr 2'!J47)</f>
        <v>0</v>
      </c>
      <c r="E295" s="99">
        <f>SUM('Personnel Yr 3'!J47)</f>
        <v>0</v>
      </c>
      <c r="F295" s="99">
        <f>SUM('Personnel Yr 4'!J47)</f>
        <v>0</v>
      </c>
      <c r="G295" s="99">
        <f>SUM('Personnel Yr 5'!J47)</f>
        <v>0</v>
      </c>
      <c r="H295" s="99">
        <f>SUM(C295:G295)</f>
        <v>0</v>
      </c>
    </row>
    <row r="296" spans="1:8" hidden="1" x14ac:dyDescent="0.2">
      <c r="A296" s="101"/>
      <c r="B296" s="146" t="s">
        <v>142</v>
      </c>
      <c r="C296" s="147">
        <f>C295/8.5</f>
        <v>0</v>
      </c>
      <c r="D296" s="147">
        <f>D295/8.5</f>
        <v>0</v>
      </c>
      <c r="E296" s="147">
        <f>E295/8.5</f>
        <v>0</v>
      </c>
      <c r="F296" s="147">
        <f>F295/8.5</f>
        <v>0</v>
      </c>
      <c r="G296" s="147">
        <f>G295/8.5</f>
        <v>0</v>
      </c>
      <c r="H296" s="148"/>
    </row>
    <row r="297" spans="1:8" hidden="1" x14ac:dyDescent="0.2">
      <c r="A297" s="106"/>
      <c r="B297" s="104" t="s">
        <v>143</v>
      </c>
      <c r="C297" s="99">
        <f>SUM('Personnel Yr 1'!I47)</f>
        <v>0</v>
      </c>
      <c r="D297" s="99">
        <f>SUM('Personnel Yr 2'!I47)</f>
        <v>0</v>
      </c>
      <c r="E297" s="99">
        <f>SUM('Personnel Yr 3'!I47)</f>
        <v>0</v>
      </c>
      <c r="F297" s="99">
        <f>SUM('Personnel Yr 4'!I47)</f>
        <v>0</v>
      </c>
      <c r="G297" s="99">
        <f>SUM('Personnel Yr 5'!I47)</f>
        <v>0</v>
      </c>
      <c r="H297" s="99">
        <f>SUM(C297:G297)</f>
        <v>0</v>
      </c>
    </row>
    <row r="298" spans="1:8" hidden="1" x14ac:dyDescent="0.2">
      <c r="A298" s="101"/>
      <c r="B298" s="146" t="s">
        <v>144</v>
      </c>
      <c r="C298" s="147">
        <f>C297/12</f>
        <v>0</v>
      </c>
      <c r="D298" s="147">
        <f>D297/12</f>
        <v>0</v>
      </c>
      <c r="E298" s="147">
        <f>E297/12</f>
        <v>0</v>
      </c>
      <c r="F298" s="147">
        <f>F297/12</f>
        <v>0</v>
      </c>
      <c r="G298" s="147">
        <f>G297/12</f>
        <v>0</v>
      </c>
      <c r="H298" s="149"/>
    </row>
    <row r="299" spans="1:8" hidden="1" x14ac:dyDescent="0.2">
      <c r="A299" s="777" t="str">
        <f>CONCATENATE('Personnel Yr 1'!B48, IF(OR(ISBLANK('Personnel Yr 1'!B48),'Personnel Yr 1'!B48=""),""," "),'Personnel Yr 1'!C48, " ",'Personnel Yr 1'!D48,IF(OR(ISBLANK('Personnel Yr 1'!D48),'Personnel Yr 1'!D48=""),""," "),'Personnel Yr 1'!E48," ",'Personnel Yr 1'!F48)</f>
        <v xml:space="preserve">  </v>
      </c>
      <c r="B299" s="778"/>
      <c r="C299" s="105"/>
      <c r="D299" s="105"/>
      <c r="E299" s="105"/>
      <c r="F299" s="105"/>
      <c r="G299" s="105"/>
      <c r="H299" s="103"/>
    </row>
    <row r="300" spans="1:8" hidden="1" x14ac:dyDescent="0.2">
      <c r="A300" s="100" t="str">
        <f>IF(ISBLANK('Personnel Yr 1'!G48),"",'Personnel Yr 1'!G48)</f>
        <v/>
      </c>
      <c r="B300" s="98" t="s">
        <v>139</v>
      </c>
      <c r="C300" s="99">
        <f>SUM('Personnel Yr 1'!K48)</f>
        <v>0</v>
      </c>
      <c r="D300" s="99">
        <f>SUM('Personnel Yr 2'!K48)</f>
        <v>0</v>
      </c>
      <c r="E300" s="99">
        <f>SUM('Personnel Yr 3'!K48)</f>
        <v>0</v>
      </c>
      <c r="F300" s="99">
        <f>SUM('Personnel Yr 4'!K48)</f>
        <v>0</v>
      </c>
      <c r="G300" s="99">
        <f>SUM('Personnel Yr 5'!K48)</f>
        <v>0</v>
      </c>
      <c r="H300" s="99">
        <f>SUM(C300:G300)</f>
        <v>0</v>
      </c>
    </row>
    <row r="301" spans="1:8" hidden="1" x14ac:dyDescent="0.2">
      <c r="A301" s="100"/>
      <c r="B301" s="150" t="s">
        <v>140</v>
      </c>
      <c r="C301" s="144">
        <f>C300/3.5</f>
        <v>0</v>
      </c>
      <c r="D301" s="144">
        <f>D300/3.5</f>
        <v>0</v>
      </c>
      <c r="E301" s="144">
        <f>E300/3.5</f>
        <v>0</v>
      </c>
      <c r="F301" s="144">
        <f>F300/3.5</f>
        <v>0</v>
      </c>
      <c r="G301" s="144">
        <f>G300/3.5</f>
        <v>0</v>
      </c>
      <c r="H301" s="148"/>
    </row>
    <row r="302" spans="1:8" hidden="1" x14ac:dyDescent="0.2">
      <c r="A302" s="101"/>
      <c r="B302" s="102" t="s">
        <v>141</v>
      </c>
      <c r="C302" s="99">
        <f>SUM('Personnel Yr 1'!J48)</f>
        <v>0</v>
      </c>
      <c r="D302" s="99">
        <f>SUM('Personnel Yr 2'!J48)</f>
        <v>0</v>
      </c>
      <c r="E302" s="99">
        <f>SUM('Personnel Yr 3'!J48)</f>
        <v>0</v>
      </c>
      <c r="F302" s="99">
        <f>SUM('Personnel Yr 4'!J48)</f>
        <v>0</v>
      </c>
      <c r="G302" s="99">
        <f>SUM('Personnel Yr 5'!J48)</f>
        <v>0</v>
      </c>
      <c r="H302" s="99">
        <f>SUM(C302:G302)</f>
        <v>0</v>
      </c>
    </row>
    <row r="303" spans="1:8" hidden="1" x14ac:dyDescent="0.2">
      <c r="A303" s="101"/>
      <c r="B303" s="146" t="s">
        <v>142</v>
      </c>
      <c r="C303" s="147">
        <f>C302/8.5</f>
        <v>0</v>
      </c>
      <c r="D303" s="147">
        <f>D302/8.5</f>
        <v>0</v>
      </c>
      <c r="E303" s="147">
        <f>E302/8.5</f>
        <v>0</v>
      </c>
      <c r="F303" s="147">
        <f>F302/8.5</f>
        <v>0</v>
      </c>
      <c r="G303" s="147">
        <f>G302/8.5</f>
        <v>0</v>
      </c>
      <c r="H303" s="148"/>
    </row>
    <row r="304" spans="1:8" hidden="1" x14ac:dyDescent="0.2">
      <c r="A304" s="106"/>
      <c r="B304" s="104" t="s">
        <v>143</v>
      </c>
      <c r="C304" s="99">
        <f>SUM('Personnel Yr 1'!I48)</f>
        <v>0</v>
      </c>
      <c r="D304" s="99">
        <f>SUM('Personnel Yr 2'!I48)</f>
        <v>0</v>
      </c>
      <c r="E304" s="99">
        <f>SUM('Personnel Yr 3'!I48)</f>
        <v>0</v>
      </c>
      <c r="F304" s="99">
        <f>SUM('Personnel Yr 4'!I48)</f>
        <v>0</v>
      </c>
      <c r="G304" s="99">
        <f>SUM('Personnel Yr 5'!I48)</f>
        <v>0</v>
      </c>
      <c r="H304" s="99">
        <f>SUM(C304:G304)</f>
        <v>0</v>
      </c>
    </row>
    <row r="305" spans="1:8" hidden="1" x14ac:dyDescent="0.2">
      <c r="A305" s="125"/>
      <c r="B305" s="146" t="s">
        <v>144</v>
      </c>
      <c r="C305" s="147">
        <f>C304/12</f>
        <v>0</v>
      </c>
      <c r="D305" s="147">
        <f>D304/12</f>
        <v>0</v>
      </c>
      <c r="E305" s="147">
        <f>E304/12</f>
        <v>0</v>
      </c>
      <c r="F305" s="147">
        <f>F304/12</f>
        <v>0</v>
      </c>
      <c r="G305" s="147">
        <f>G304/12</f>
        <v>0</v>
      </c>
      <c r="H305" s="149"/>
    </row>
    <row r="306" spans="1:8" hidden="1" x14ac:dyDescent="0.2">
      <c r="A306" s="777" t="str">
        <f>CONCATENATE('Personnel Yr 1'!B49, IF(OR(ISBLANK('Personnel Yr 1'!B49),'Personnel Yr 1'!B49=""),""," "),'Personnel Yr 1'!C49, " ",'Personnel Yr 1'!D49,IF(OR(ISBLANK('Personnel Yr 1'!D49),'Personnel Yr 1'!D49=""),""," "),'Personnel Yr 1'!E49," ",'Personnel Yr 1'!F49)</f>
        <v xml:space="preserve">  </v>
      </c>
      <c r="B306" s="778"/>
      <c r="C306" s="105"/>
      <c r="D306" s="105"/>
      <c r="E306" s="105"/>
      <c r="F306" s="105"/>
      <c r="G306" s="105"/>
      <c r="H306" s="103"/>
    </row>
    <row r="307" spans="1:8" hidden="1" x14ac:dyDescent="0.2">
      <c r="A307" s="97" t="str">
        <f>IF(ISBLANK('Personnel Yr 1'!G49),"",'Personnel Yr 1'!G49)</f>
        <v/>
      </c>
      <c r="B307" s="98" t="s">
        <v>139</v>
      </c>
      <c r="C307" s="99">
        <f>SUM('Personnel Yr 1'!K49)</f>
        <v>0</v>
      </c>
      <c r="D307" s="99">
        <f>SUM('Personnel Yr 2'!K49)</f>
        <v>0</v>
      </c>
      <c r="E307" s="99">
        <f>SUM('Personnel Yr 3'!K49)</f>
        <v>0</v>
      </c>
      <c r="F307" s="99">
        <f>SUM('Personnel Yr 4'!K49)</f>
        <v>0</v>
      </c>
      <c r="G307" s="99">
        <f>SUM('Personnel Yr 4'!K49)</f>
        <v>0</v>
      </c>
      <c r="H307" s="99">
        <f>SUM(C307:G307)</f>
        <v>0</v>
      </c>
    </row>
    <row r="308" spans="1:8" hidden="1" x14ac:dyDescent="0.2">
      <c r="A308" s="100"/>
      <c r="B308" s="150" t="s">
        <v>140</v>
      </c>
      <c r="C308" s="144">
        <f>C307/3.5</f>
        <v>0</v>
      </c>
      <c r="D308" s="144">
        <f>D307/3.5</f>
        <v>0</v>
      </c>
      <c r="E308" s="144">
        <f>E307/3.5</f>
        <v>0</v>
      </c>
      <c r="F308" s="144">
        <f>F307/3.5</f>
        <v>0</v>
      </c>
      <c r="G308" s="144">
        <f>G307/3.5</f>
        <v>0</v>
      </c>
      <c r="H308" s="148"/>
    </row>
    <row r="309" spans="1:8" hidden="1" x14ac:dyDescent="0.2">
      <c r="A309" s="101"/>
      <c r="B309" s="102" t="s">
        <v>141</v>
      </c>
      <c r="C309" s="99">
        <f>SUM('Personnel Yr 1'!J49)</f>
        <v>0</v>
      </c>
      <c r="D309" s="99">
        <f>SUM('Personnel Yr 2'!J49)</f>
        <v>0</v>
      </c>
      <c r="E309" s="99">
        <f>SUM('Personnel Yr 3'!J49)</f>
        <v>0</v>
      </c>
      <c r="F309" s="99">
        <f>SUM('Personnel Yr 4'!J49)</f>
        <v>0</v>
      </c>
      <c r="G309" s="99">
        <f>SUM('Personnel Yr 5'!J49)</f>
        <v>0</v>
      </c>
      <c r="H309" s="99">
        <f>SUM(C309:G309)</f>
        <v>0</v>
      </c>
    </row>
    <row r="310" spans="1:8" hidden="1" x14ac:dyDescent="0.2">
      <c r="A310" s="101"/>
      <c r="B310" s="146" t="s">
        <v>142</v>
      </c>
      <c r="C310" s="147">
        <f>C309/8.5</f>
        <v>0</v>
      </c>
      <c r="D310" s="147">
        <f>D309/8.5</f>
        <v>0</v>
      </c>
      <c r="E310" s="147">
        <f>E309/8.5</f>
        <v>0</v>
      </c>
      <c r="F310" s="147">
        <f>F309/8.5</f>
        <v>0</v>
      </c>
      <c r="G310" s="147">
        <f>G309/8.5</f>
        <v>0</v>
      </c>
      <c r="H310" s="148"/>
    </row>
    <row r="311" spans="1:8" hidden="1" x14ac:dyDescent="0.2">
      <c r="A311" s="106"/>
      <c r="B311" s="104" t="s">
        <v>143</v>
      </c>
      <c r="C311" s="99">
        <f>SUM('Personnel Yr 1'!I49)</f>
        <v>0</v>
      </c>
      <c r="D311" s="99">
        <f>SUM('Personnel Yr 2'!I49)</f>
        <v>0</v>
      </c>
      <c r="E311" s="99">
        <f>SUM('Personnel Yr 3'!I49)</f>
        <v>0</v>
      </c>
      <c r="F311" s="99">
        <f>SUM('Personnel Yr 4'!I49)</f>
        <v>0</v>
      </c>
      <c r="G311" s="99">
        <f>SUM('Personnel Yr 5'!I49)</f>
        <v>0</v>
      </c>
      <c r="H311" s="99">
        <f>SUM(C311:G311)</f>
        <v>0</v>
      </c>
    </row>
    <row r="312" spans="1:8" hidden="1" x14ac:dyDescent="0.2">
      <c r="A312" s="125"/>
      <c r="B312" s="146" t="s">
        <v>144</v>
      </c>
      <c r="C312" s="147">
        <f>C311/12</f>
        <v>0</v>
      </c>
      <c r="D312" s="147">
        <f>D311/12</f>
        <v>0</v>
      </c>
      <c r="E312" s="147">
        <f>E311/12</f>
        <v>0</v>
      </c>
      <c r="F312" s="147">
        <f>F311/12</f>
        <v>0</v>
      </c>
      <c r="G312" s="147">
        <f>G311/12</f>
        <v>0</v>
      </c>
      <c r="H312" s="151"/>
    </row>
    <row r="313" spans="1:8" hidden="1" x14ac:dyDescent="0.2">
      <c r="A313" s="777" t="str">
        <f>CONCATENATE('Personnel Yr 1'!B50, IF(OR(ISBLANK('Personnel Yr 1'!B50),'Personnel Yr 1'!B50=""),""," "),'Personnel Yr 1'!C50, " ",'Personnel Yr 1'!D50,IF(OR(ISBLANK('Personnel Yr 1'!D50),'Personnel Yr 1'!D50=""),""," "),'Personnel Yr 1'!E50," ",'Personnel Yr 1'!F50)</f>
        <v xml:space="preserve">  </v>
      </c>
      <c r="B313" s="778"/>
      <c r="C313" s="108"/>
      <c r="D313" s="108"/>
      <c r="E313" s="108"/>
      <c r="F313" s="108"/>
      <c r="G313" s="124"/>
      <c r="H313" s="123"/>
    </row>
    <row r="314" spans="1:8" hidden="1" x14ac:dyDescent="0.2">
      <c r="A314" s="97" t="str">
        <f>IF(ISBLANK('Personnel Yr 1'!G50),"",'Personnel Yr 1'!G50)</f>
        <v/>
      </c>
      <c r="B314" s="98" t="s">
        <v>139</v>
      </c>
      <c r="C314" s="99">
        <f>SUM('Personnel Yr 1'!K50)</f>
        <v>0</v>
      </c>
      <c r="D314" s="99">
        <f>SUM('Personnel Yr 2'!K50)</f>
        <v>0</v>
      </c>
      <c r="E314" s="99">
        <f>SUM('Personnel Yr 3'!K50)</f>
        <v>0</v>
      </c>
      <c r="F314" s="99">
        <f>SUM('Personnel Yr 4'!K50)</f>
        <v>0</v>
      </c>
      <c r="G314" s="99">
        <f>SUM('Personnel Yr 5'!K50)</f>
        <v>0</v>
      </c>
      <c r="H314" s="99">
        <f>SUM(C314:G314)</f>
        <v>0</v>
      </c>
    </row>
    <row r="315" spans="1:8" hidden="1" x14ac:dyDescent="0.2">
      <c r="A315" s="100"/>
      <c r="B315" s="150" t="s">
        <v>140</v>
      </c>
      <c r="C315" s="144">
        <f>C314/3.5</f>
        <v>0</v>
      </c>
      <c r="D315" s="144">
        <f>D314/3.5</f>
        <v>0</v>
      </c>
      <c r="E315" s="144">
        <f>E314/3.5</f>
        <v>0</v>
      </c>
      <c r="F315" s="144">
        <f>F314/3.5</f>
        <v>0</v>
      </c>
      <c r="G315" s="144">
        <f>G314/3.5</f>
        <v>0</v>
      </c>
      <c r="H315" s="148"/>
    </row>
    <row r="316" spans="1:8" hidden="1" x14ac:dyDescent="0.2">
      <c r="A316" s="101"/>
      <c r="B316" s="102" t="s">
        <v>141</v>
      </c>
      <c r="C316" s="99">
        <f>SUM('Personnel Yr 1'!J50)</f>
        <v>0</v>
      </c>
      <c r="D316" s="99">
        <f>SUM('Personnel Yr 2'!J50)</f>
        <v>0</v>
      </c>
      <c r="E316" s="99">
        <f>SUM('Personnel Yr 3'!J50)</f>
        <v>0</v>
      </c>
      <c r="F316" s="99">
        <f>SUM('Personnel Yr 4'!J50)</f>
        <v>0</v>
      </c>
      <c r="G316" s="99">
        <f>SUM('Personnel Yr 5'!J50)</f>
        <v>0</v>
      </c>
      <c r="H316" s="99">
        <f>SUM(C316:G316)</f>
        <v>0</v>
      </c>
    </row>
    <row r="317" spans="1:8" hidden="1" x14ac:dyDescent="0.2">
      <c r="A317" s="101"/>
      <c r="B317" s="146" t="s">
        <v>142</v>
      </c>
      <c r="C317" s="147">
        <f>C316/8.5</f>
        <v>0</v>
      </c>
      <c r="D317" s="147">
        <f>D316/8.5</f>
        <v>0</v>
      </c>
      <c r="E317" s="147">
        <f>E316/8.5</f>
        <v>0</v>
      </c>
      <c r="F317" s="147">
        <f>F316/8.5</f>
        <v>0</v>
      </c>
      <c r="G317" s="147">
        <f>G316/8.5</f>
        <v>0</v>
      </c>
      <c r="H317" s="148"/>
    </row>
    <row r="318" spans="1:8" hidden="1" x14ac:dyDescent="0.2">
      <c r="A318" s="101"/>
      <c r="B318" s="104" t="s">
        <v>143</v>
      </c>
      <c r="C318" s="99">
        <f>SUM('Personnel Yr 1'!I50)</f>
        <v>0</v>
      </c>
      <c r="D318" s="99">
        <f>SUM('Personnel Yr 2'!I50)</f>
        <v>0</v>
      </c>
      <c r="E318" s="99">
        <f>SUM('Personnel Yr 3'!I50)</f>
        <v>0</v>
      </c>
      <c r="F318" s="99">
        <f>SUM('Personnel Yr 4'!I50)</f>
        <v>0</v>
      </c>
      <c r="G318" s="99">
        <f>SUM('Personnel Yr 5'!I50)</f>
        <v>0</v>
      </c>
      <c r="H318" s="99">
        <f>SUM(C318:G318)</f>
        <v>0</v>
      </c>
    </row>
    <row r="319" spans="1:8" hidden="1" x14ac:dyDescent="0.2">
      <c r="A319" s="125"/>
      <c r="B319" s="146" t="s">
        <v>144</v>
      </c>
      <c r="C319" s="147">
        <f>C318/12</f>
        <v>0</v>
      </c>
      <c r="D319" s="147">
        <f>D318/12</f>
        <v>0</v>
      </c>
      <c r="E319" s="147">
        <f>E318/12</f>
        <v>0</v>
      </c>
      <c r="F319" s="147">
        <f>F318/12</f>
        <v>0</v>
      </c>
      <c r="G319" s="147">
        <f>G318/12</f>
        <v>0</v>
      </c>
      <c r="H319" s="149"/>
    </row>
    <row r="320" spans="1:8" hidden="1" x14ac:dyDescent="0.2">
      <c r="A320" s="777" t="str">
        <f>CONCATENATE('Personnel Yr 1'!B51, IF(OR(ISBLANK('Personnel Yr 1'!B51),'Personnel Yr 1'!B51=""),""," "),'Personnel Yr 1'!C51, " ",'Personnel Yr 1'!D51,IF(OR(ISBLANK('Personnel Yr 1'!D51),'Personnel Yr 1'!D51=""),""," "),'Personnel Yr 1'!E51," ",'Personnel Yr 1'!F51)</f>
        <v xml:space="preserve">  </v>
      </c>
      <c r="B320" s="778"/>
      <c r="C320" s="105"/>
      <c r="D320" s="105"/>
      <c r="E320" s="105"/>
      <c r="F320" s="105"/>
      <c r="G320" s="105"/>
      <c r="H320" s="103"/>
    </row>
    <row r="321" spans="1:8" hidden="1" x14ac:dyDescent="0.2">
      <c r="A321" s="97" t="str">
        <f>IF(ISBLANK('Personnel Yr 1'!G51),"",'Personnel Yr 1'!G51)</f>
        <v/>
      </c>
      <c r="B321" s="98" t="s">
        <v>139</v>
      </c>
      <c r="C321" s="99">
        <f>SUM('Personnel Yr 1'!K51)</f>
        <v>0</v>
      </c>
      <c r="D321" s="99">
        <f>SUM('Personnel Yr 2'!K51)</f>
        <v>0</v>
      </c>
      <c r="E321" s="99">
        <f>SUM('Personnel Yr 3'!K51)</f>
        <v>0</v>
      </c>
      <c r="F321" s="99">
        <f>SUM('Personnel Yr 4'!K51)</f>
        <v>0</v>
      </c>
      <c r="G321" s="99">
        <f>SUM('Personnel Yr 5'!K51)</f>
        <v>0</v>
      </c>
      <c r="H321" s="99">
        <f>SUM(C321:G321)</f>
        <v>0</v>
      </c>
    </row>
    <row r="322" spans="1:8" hidden="1" x14ac:dyDescent="0.2">
      <c r="A322" s="100"/>
      <c r="B322" s="150" t="s">
        <v>140</v>
      </c>
      <c r="C322" s="144">
        <f>C321/3.5</f>
        <v>0</v>
      </c>
      <c r="D322" s="144">
        <f>D321/3.5</f>
        <v>0</v>
      </c>
      <c r="E322" s="144">
        <f>E321/3.5</f>
        <v>0</v>
      </c>
      <c r="F322" s="144">
        <f>F321/3.5</f>
        <v>0</v>
      </c>
      <c r="G322" s="144">
        <f>G321/3.5</f>
        <v>0</v>
      </c>
      <c r="H322" s="148"/>
    </row>
    <row r="323" spans="1:8" hidden="1" x14ac:dyDescent="0.2">
      <c r="A323" s="101"/>
      <c r="B323" s="102" t="s">
        <v>141</v>
      </c>
      <c r="C323" s="99">
        <f>SUM('Personnel Yr 1'!J51)</f>
        <v>0</v>
      </c>
      <c r="D323" s="99">
        <f>SUM('Personnel Yr 2'!J51)</f>
        <v>0</v>
      </c>
      <c r="E323" s="99">
        <f>SUM('Personnel Yr 3'!J51)</f>
        <v>0</v>
      </c>
      <c r="F323" s="99">
        <f>SUM('Personnel Yr 4'!J51)</f>
        <v>0</v>
      </c>
      <c r="G323" s="99">
        <f>SUM('Personnel Yr 5'!J51)</f>
        <v>0</v>
      </c>
      <c r="H323" s="99">
        <f>SUM(C323:G323)</f>
        <v>0</v>
      </c>
    </row>
    <row r="324" spans="1:8" hidden="1" x14ac:dyDescent="0.2">
      <c r="A324" s="101"/>
      <c r="B324" s="146" t="s">
        <v>142</v>
      </c>
      <c r="C324" s="147">
        <f>C323/8.5</f>
        <v>0</v>
      </c>
      <c r="D324" s="147">
        <f>D323/8.5</f>
        <v>0</v>
      </c>
      <c r="E324" s="147">
        <f>E323/8.5</f>
        <v>0</v>
      </c>
      <c r="F324" s="147">
        <f>F323/8.5</f>
        <v>0</v>
      </c>
      <c r="G324" s="147">
        <f>G323/8.5</f>
        <v>0</v>
      </c>
      <c r="H324" s="148"/>
    </row>
    <row r="325" spans="1:8" hidden="1" x14ac:dyDescent="0.2">
      <c r="A325" s="101"/>
      <c r="B325" s="104" t="s">
        <v>143</v>
      </c>
      <c r="C325" s="99">
        <f>SUM('Personnel Yr 1'!I51)</f>
        <v>0</v>
      </c>
      <c r="D325" s="99">
        <f>SUM('Personnel Yr 2'!I51)</f>
        <v>0</v>
      </c>
      <c r="E325" s="99">
        <f>SUM('Personnel Yr 3'!I51)</f>
        <v>0</v>
      </c>
      <c r="F325" s="99">
        <f>SUM('Personnel Yr 4'!I51)</f>
        <v>0</v>
      </c>
      <c r="G325" s="99">
        <f>SUM('Personnel Yr 5'!I51)</f>
        <v>0</v>
      </c>
      <c r="H325" s="99">
        <f>SUM(C325:G325)</f>
        <v>0</v>
      </c>
    </row>
    <row r="326" spans="1:8" hidden="1" x14ac:dyDescent="0.2">
      <c r="A326" s="125"/>
      <c r="B326" s="146" t="s">
        <v>144</v>
      </c>
      <c r="C326" s="147">
        <f>C325/12</f>
        <v>0</v>
      </c>
      <c r="D326" s="147">
        <f>D325/12</f>
        <v>0</v>
      </c>
      <c r="E326" s="147">
        <f>E325/12</f>
        <v>0</v>
      </c>
      <c r="F326" s="147">
        <f>F325/12</f>
        <v>0</v>
      </c>
      <c r="G326" s="147">
        <f>G325/12</f>
        <v>0</v>
      </c>
      <c r="H326" s="149"/>
    </row>
    <row r="327" spans="1:8" ht="15" hidden="1" x14ac:dyDescent="0.25">
      <c r="A327" s="781" t="s">
        <v>250</v>
      </c>
      <c r="B327" s="781"/>
      <c r="C327" s="781"/>
      <c r="D327" s="95"/>
      <c r="E327" s="95"/>
      <c r="F327" s="95"/>
      <c r="G327" s="95"/>
      <c r="H327" s="95"/>
    </row>
    <row r="328" spans="1:8" hidden="1" x14ac:dyDescent="0.2">
      <c r="A328" s="780" t="str">
        <f>CONCATENATE('Personnel Yr 1'!B52, IF(OR(ISBLANK('Personnel Yr 1'!B52),'Personnel Yr 1'!B52=""),""," "),'Personnel Yr 1'!C52, " ",'Personnel Yr 1'!D52,IF(OR(ISBLANK('Personnel Yr 1'!D52),'Personnel Yr 1'!D52=""),""," "),'Personnel Yr 1'!E52," ",'Personnel Yr 1'!F52)</f>
        <v xml:space="preserve">  </v>
      </c>
      <c r="B328" s="780"/>
      <c r="C328" s="96" t="s">
        <v>35</v>
      </c>
      <c r="D328" s="96" t="s">
        <v>36</v>
      </c>
      <c r="E328" s="96" t="s">
        <v>37</v>
      </c>
      <c r="F328" s="96" t="s">
        <v>38</v>
      </c>
      <c r="G328" s="96" t="s">
        <v>39</v>
      </c>
      <c r="H328" s="96" t="s">
        <v>40</v>
      </c>
    </row>
    <row r="329" spans="1:8" hidden="1" x14ac:dyDescent="0.2">
      <c r="A329" s="97" t="str">
        <f>IF(ISBLANK('Personnel Yr 1'!G52),"",'Personnel Yr 1'!G52)</f>
        <v/>
      </c>
      <c r="B329" s="98" t="s">
        <v>139</v>
      </c>
      <c r="C329" s="99">
        <f>SUM('Personnel Yr 1'!K52)</f>
        <v>0</v>
      </c>
      <c r="D329" s="99">
        <f>SUM('Personnel Yr 2'!K52)</f>
        <v>0</v>
      </c>
      <c r="E329" s="99">
        <f>SUM('Personnel Yr 3'!K52)</f>
        <v>0</v>
      </c>
      <c r="F329" s="99">
        <f>SUM('Personnel Yr 4'!K52)</f>
        <v>0</v>
      </c>
      <c r="G329" s="99">
        <f>SUM('Personnel Yr 5'!K52)</f>
        <v>0</v>
      </c>
      <c r="H329" s="99">
        <f>SUM(C329:G329)</f>
        <v>0</v>
      </c>
    </row>
    <row r="330" spans="1:8" hidden="1" x14ac:dyDescent="0.2">
      <c r="A330" s="100"/>
      <c r="B330" s="150" t="s">
        <v>140</v>
      </c>
      <c r="C330" s="144">
        <f>C329/3.5</f>
        <v>0</v>
      </c>
      <c r="D330" s="144">
        <f>D329/3.5</f>
        <v>0</v>
      </c>
      <c r="E330" s="144">
        <f>E329/3.5</f>
        <v>0</v>
      </c>
      <c r="F330" s="144">
        <f>F329/3.5</f>
        <v>0</v>
      </c>
      <c r="G330" s="144">
        <f>G329/3.5</f>
        <v>0</v>
      </c>
      <c r="H330" s="148"/>
    </row>
    <row r="331" spans="1:8" hidden="1" x14ac:dyDescent="0.2">
      <c r="A331" s="101"/>
      <c r="B331" s="102" t="s">
        <v>141</v>
      </c>
      <c r="C331" s="99">
        <f>SUM('Personnel Yr 1'!J52)</f>
        <v>0</v>
      </c>
      <c r="D331" s="99">
        <f>SUM('Personnel Yr 2'!J52)</f>
        <v>0</v>
      </c>
      <c r="E331" s="99">
        <f>SUM('Personnel Yr 3'!J52)</f>
        <v>0</v>
      </c>
      <c r="F331" s="99">
        <f>SUM('Personnel Yr 4'!J52)</f>
        <v>0</v>
      </c>
      <c r="G331" s="99">
        <f>SUM('Personnel Yr 5'!J52)</f>
        <v>0</v>
      </c>
      <c r="H331" s="99">
        <f>SUM(C331:G331)</f>
        <v>0</v>
      </c>
    </row>
    <row r="332" spans="1:8" hidden="1" x14ac:dyDescent="0.2">
      <c r="A332" s="101"/>
      <c r="B332" s="146" t="s">
        <v>142</v>
      </c>
      <c r="C332" s="147">
        <f>C331/8.5</f>
        <v>0</v>
      </c>
      <c r="D332" s="147">
        <f>D331/8.5</f>
        <v>0</v>
      </c>
      <c r="E332" s="147">
        <f>E331/8.5</f>
        <v>0</v>
      </c>
      <c r="F332" s="147">
        <f>F331/8.5</f>
        <v>0</v>
      </c>
      <c r="G332" s="147">
        <f>G331/8.5</f>
        <v>0</v>
      </c>
      <c r="H332" s="148"/>
    </row>
    <row r="333" spans="1:8" hidden="1" x14ac:dyDescent="0.2">
      <c r="A333" s="106"/>
      <c r="B333" s="104" t="s">
        <v>143</v>
      </c>
      <c r="C333" s="99">
        <f>SUM('Personnel Yr 1'!I52)</f>
        <v>0</v>
      </c>
      <c r="D333" s="99">
        <f>SUM('Personnel Yr 2'!I52)</f>
        <v>0</v>
      </c>
      <c r="E333" s="99">
        <f>SUM('Personnel Yr 3'!I52)</f>
        <v>0</v>
      </c>
      <c r="F333" s="99">
        <f>SUM('Personnel Yr 4'!I52)</f>
        <v>0</v>
      </c>
      <c r="G333" s="99">
        <f>SUM('Personnel Yr 5'!I52)</f>
        <v>0</v>
      </c>
      <c r="H333" s="99">
        <f>SUM(C333:G333)</f>
        <v>0</v>
      </c>
    </row>
    <row r="334" spans="1:8" hidden="1" x14ac:dyDescent="0.2">
      <c r="A334" s="101"/>
      <c r="B334" s="146" t="s">
        <v>144</v>
      </c>
      <c r="C334" s="147">
        <f>C333/12</f>
        <v>0</v>
      </c>
      <c r="D334" s="147">
        <f>D333/12</f>
        <v>0</v>
      </c>
      <c r="E334" s="147">
        <f>E333/12</f>
        <v>0</v>
      </c>
      <c r="F334" s="147">
        <f>F333/12</f>
        <v>0</v>
      </c>
      <c r="G334" s="147">
        <f>G333/12</f>
        <v>0</v>
      </c>
      <c r="H334" s="149"/>
    </row>
    <row r="335" spans="1:8" hidden="1" x14ac:dyDescent="0.2">
      <c r="A335" s="777" t="str">
        <f>CONCATENATE('Personnel Yr 1'!B53, IF(OR(ISBLANK('Personnel Yr 1'!B53),'Personnel Yr 1'!B53=""),""," "),'Personnel Yr 1'!C53, " ",'Personnel Yr 1'!D53,IF(OR(ISBLANK('Personnel Yr 1'!D53),'Personnel Yr 1'!D53=""),""," "),'Personnel Yr 1'!E53," ",'Personnel Yr 1'!F53)</f>
        <v xml:space="preserve">  </v>
      </c>
      <c r="B335" s="778"/>
      <c r="C335" s="105"/>
      <c r="D335" s="105"/>
      <c r="E335" s="105"/>
      <c r="F335" s="105"/>
      <c r="G335" s="105"/>
      <c r="H335" s="103"/>
    </row>
    <row r="336" spans="1:8" hidden="1" x14ac:dyDescent="0.2">
      <c r="A336" s="100" t="str">
        <f>IF(ISBLANK('Personnel Yr 1'!G53),"",'Personnel Yr 1'!G53)</f>
        <v/>
      </c>
      <c r="B336" s="98" t="s">
        <v>139</v>
      </c>
      <c r="C336" s="99">
        <f>SUM('Personnel Yr 1'!K53)</f>
        <v>0</v>
      </c>
      <c r="D336" s="99">
        <f>SUM('Personnel Yr 2'!K53)</f>
        <v>0</v>
      </c>
      <c r="E336" s="99">
        <f>SUM('Personnel Yr 3'!K53)</f>
        <v>0</v>
      </c>
      <c r="F336" s="99">
        <f>SUM('Personnel Yr 4'!K53)</f>
        <v>0</v>
      </c>
      <c r="G336" s="99">
        <f>SUM('Personnel Yr 5'!K53)</f>
        <v>0</v>
      </c>
      <c r="H336" s="99">
        <f>SUM(C336:G336)</f>
        <v>0</v>
      </c>
    </row>
    <row r="337" spans="1:8" hidden="1" x14ac:dyDescent="0.2">
      <c r="A337" s="100"/>
      <c r="B337" s="150" t="s">
        <v>140</v>
      </c>
      <c r="C337" s="144">
        <f>C336/3.5</f>
        <v>0</v>
      </c>
      <c r="D337" s="144">
        <f>D336/3.5</f>
        <v>0</v>
      </c>
      <c r="E337" s="144">
        <f>E336/3.5</f>
        <v>0</v>
      </c>
      <c r="F337" s="144">
        <f>F336/3.5</f>
        <v>0</v>
      </c>
      <c r="G337" s="144">
        <f>G336/3.5</f>
        <v>0</v>
      </c>
      <c r="H337" s="148"/>
    </row>
    <row r="338" spans="1:8" hidden="1" x14ac:dyDescent="0.2">
      <c r="A338" s="101"/>
      <c r="B338" s="102" t="s">
        <v>141</v>
      </c>
      <c r="C338" s="99">
        <f>SUM('Personnel Yr 1'!J53)</f>
        <v>0</v>
      </c>
      <c r="D338" s="99">
        <f>SUM('Personnel Yr 2'!J53)</f>
        <v>0</v>
      </c>
      <c r="E338" s="99">
        <f>SUM('Personnel Yr 3'!J53)</f>
        <v>0</v>
      </c>
      <c r="F338" s="99">
        <f>SUM('Personnel Yr 4'!J53)</f>
        <v>0</v>
      </c>
      <c r="G338" s="99">
        <f>SUM('Personnel Yr 5'!J53)</f>
        <v>0</v>
      </c>
      <c r="H338" s="99">
        <f>SUM(C338:G338)</f>
        <v>0</v>
      </c>
    </row>
    <row r="339" spans="1:8" hidden="1" x14ac:dyDescent="0.2">
      <c r="A339" s="101"/>
      <c r="B339" s="146" t="s">
        <v>142</v>
      </c>
      <c r="C339" s="147">
        <f>C338/8.5</f>
        <v>0</v>
      </c>
      <c r="D339" s="147">
        <f>D338/8.5</f>
        <v>0</v>
      </c>
      <c r="E339" s="147">
        <f>E338/8.5</f>
        <v>0</v>
      </c>
      <c r="F339" s="147">
        <f>F338/8.5</f>
        <v>0</v>
      </c>
      <c r="G339" s="147">
        <f>G338/8.5</f>
        <v>0</v>
      </c>
      <c r="H339" s="148"/>
    </row>
    <row r="340" spans="1:8" hidden="1" x14ac:dyDescent="0.2">
      <c r="A340" s="106"/>
      <c r="B340" s="104" t="s">
        <v>143</v>
      </c>
      <c r="C340" s="99">
        <f>SUM('Personnel Yr 1'!I53)</f>
        <v>0</v>
      </c>
      <c r="D340" s="99">
        <f>SUM('Personnel Yr 2'!I53)</f>
        <v>0</v>
      </c>
      <c r="E340" s="99">
        <f>SUM('Personnel Yr 3'!I53)</f>
        <v>0</v>
      </c>
      <c r="F340" s="99">
        <f>SUM('Personnel Yr 4'!I53)</f>
        <v>0</v>
      </c>
      <c r="G340" s="99">
        <f>SUM('Personnel Yr 5'!I53)</f>
        <v>0</v>
      </c>
      <c r="H340" s="99">
        <f>SUM(C340:G340)</f>
        <v>0</v>
      </c>
    </row>
    <row r="341" spans="1:8" hidden="1" x14ac:dyDescent="0.2">
      <c r="A341" s="101"/>
      <c r="B341" s="146" t="s">
        <v>144</v>
      </c>
      <c r="C341" s="147">
        <f>C340/12</f>
        <v>0</v>
      </c>
      <c r="D341" s="147">
        <f>D340/12</f>
        <v>0</v>
      </c>
      <c r="E341" s="147">
        <f>E340/12</f>
        <v>0</v>
      </c>
      <c r="F341" s="147">
        <f>F340/12</f>
        <v>0</v>
      </c>
      <c r="G341" s="147">
        <f>G340/12</f>
        <v>0</v>
      </c>
      <c r="H341" s="149"/>
    </row>
    <row r="342" spans="1:8" hidden="1" x14ac:dyDescent="0.2">
      <c r="A342" s="777" t="str">
        <f>CONCATENATE('Personnel Yr 1'!B54, IF(OR(ISBLANK('Personnel Yr 1'!B54),'Personnel Yr 1'!B54=""),""," "),'Personnel Yr 1'!C54, " ",'Personnel Yr 1'!D54,IF(OR(ISBLANK('Personnel Yr 1'!D54),'Personnel Yr 1'!D54=""),""," "),'Personnel Yr 1'!E54," ",'Personnel Yr 1'!F54)</f>
        <v xml:space="preserve">  </v>
      </c>
      <c r="B342" s="778"/>
      <c r="C342" s="105"/>
      <c r="D342" s="105"/>
      <c r="E342" s="105"/>
      <c r="F342" s="105"/>
      <c r="G342" s="105"/>
      <c r="H342" s="103"/>
    </row>
    <row r="343" spans="1:8" hidden="1" x14ac:dyDescent="0.2">
      <c r="A343" s="100" t="str">
        <f>IF(ISBLANK('Personnel Yr 1'!G54),"",'Personnel Yr 1'!G54)</f>
        <v/>
      </c>
      <c r="B343" s="98" t="s">
        <v>139</v>
      </c>
      <c r="C343" s="99">
        <f>SUM('Personnel Yr 1'!K54)</f>
        <v>0</v>
      </c>
      <c r="D343" s="99">
        <f>SUM('Personnel Yr 2'!K54)</f>
        <v>0</v>
      </c>
      <c r="E343" s="99">
        <f>SUM('Personnel Yr 3'!K54)</f>
        <v>0</v>
      </c>
      <c r="F343" s="99">
        <f>SUM('Personnel Yr 4'!K54)</f>
        <v>0</v>
      </c>
      <c r="G343" s="99">
        <f>SUM('Personnel Yr 5'!K54)</f>
        <v>0</v>
      </c>
      <c r="H343" s="99">
        <f>SUM(C343:G343)</f>
        <v>0</v>
      </c>
    </row>
    <row r="344" spans="1:8" hidden="1" x14ac:dyDescent="0.2">
      <c r="A344" s="100"/>
      <c r="B344" s="150" t="s">
        <v>140</v>
      </c>
      <c r="C344" s="144">
        <f>C343/3.5</f>
        <v>0</v>
      </c>
      <c r="D344" s="144">
        <f>D343/3.5</f>
        <v>0</v>
      </c>
      <c r="E344" s="144">
        <f>E343/3.5</f>
        <v>0</v>
      </c>
      <c r="F344" s="144">
        <f>F343/3.5</f>
        <v>0</v>
      </c>
      <c r="G344" s="144">
        <f>G343/3.5</f>
        <v>0</v>
      </c>
      <c r="H344" s="148"/>
    </row>
    <row r="345" spans="1:8" hidden="1" x14ac:dyDescent="0.2">
      <c r="A345" s="101"/>
      <c r="B345" s="102" t="s">
        <v>141</v>
      </c>
      <c r="C345" s="99">
        <f>SUM('Personnel Yr 1'!J54)</f>
        <v>0</v>
      </c>
      <c r="D345" s="99">
        <f>SUM('Personnel Yr 2'!J54)</f>
        <v>0</v>
      </c>
      <c r="E345" s="99">
        <f>SUM('Personnel Yr 3'!J54)</f>
        <v>0</v>
      </c>
      <c r="F345" s="99">
        <f>SUM('Personnel Yr 4'!J54)</f>
        <v>0</v>
      </c>
      <c r="G345" s="99">
        <f>SUM('Personnel Yr 5'!J54)</f>
        <v>0</v>
      </c>
      <c r="H345" s="99">
        <f>SUM(C345:G345)</f>
        <v>0</v>
      </c>
    </row>
    <row r="346" spans="1:8" hidden="1" x14ac:dyDescent="0.2">
      <c r="A346" s="101"/>
      <c r="B346" s="146" t="s">
        <v>142</v>
      </c>
      <c r="C346" s="147">
        <f>C345/8.5</f>
        <v>0</v>
      </c>
      <c r="D346" s="147">
        <f>D345/8.5</f>
        <v>0</v>
      </c>
      <c r="E346" s="147">
        <f>E345/8.5</f>
        <v>0</v>
      </c>
      <c r="F346" s="147">
        <f>F345/8.5</f>
        <v>0</v>
      </c>
      <c r="G346" s="147">
        <f>G345/8.5</f>
        <v>0</v>
      </c>
      <c r="H346" s="148"/>
    </row>
    <row r="347" spans="1:8" hidden="1" x14ac:dyDescent="0.2">
      <c r="A347" s="106"/>
      <c r="B347" s="104" t="s">
        <v>143</v>
      </c>
      <c r="C347" s="99">
        <f>SUM('Personnel Yr 1'!I55)</f>
        <v>0</v>
      </c>
      <c r="D347" s="99">
        <f>SUM('Personnel Yr 2'!I55)</f>
        <v>0</v>
      </c>
      <c r="E347" s="99">
        <f>SUM('Personnel Yr 3'!I55)</f>
        <v>0</v>
      </c>
      <c r="F347" s="99">
        <f>SUM('Personnel Yr 4'!I55)</f>
        <v>0</v>
      </c>
      <c r="G347" s="99">
        <f>SUM('Personnel Yr 5'!I55)</f>
        <v>0</v>
      </c>
      <c r="H347" s="99">
        <f>SUM(C347:G347)</f>
        <v>0</v>
      </c>
    </row>
    <row r="348" spans="1:8" hidden="1" x14ac:dyDescent="0.2">
      <c r="A348" s="101"/>
      <c r="B348" s="146" t="s">
        <v>144</v>
      </c>
      <c r="C348" s="147">
        <f>C347/12</f>
        <v>0</v>
      </c>
      <c r="D348" s="147">
        <f>D347/12</f>
        <v>0</v>
      </c>
      <c r="E348" s="147">
        <f>E347/12</f>
        <v>0</v>
      </c>
      <c r="F348" s="147">
        <f>F347/12</f>
        <v>0</v>
      </c>
      <c r="G348" s="147">
        <f>G347/12</f>
        <v>0</v>
      </c>
      <c r="H348" s="149"/>
    </row>
    <row r="349" spans="1:8" hidden="1" x14ac:dyDescent="0.2">
      <c r="A349" s="777" t="str">
        <f>CONCATENATE('Personnel Yr 1'!B55, IF(OR(ISBLANK('Personnel Yr 1'!B55),'Personnel Yr 1'!B55=""),""," "),'Personnel Yr 1'!C55, " ",'Personnel Yr 1'!D55,IF(OR(ISBLANK('Personnel Yr 1'!D55),'Personnel Yr 1'!D55=""),""," "),'Personnel Yr 1'!E55," ",'Personnel Yr 1'!F55)</f>
        <v xml:space="preserve">  </v>
      </c>
      <c r="B349" s="778"/>
      <c r="C349" s="105"/>
      <c r="D349" s="105"/>
      <c r="E349" s="105"/>
      <c r="F349" s="105"/>
      <c r="G349" s="105"/>
      <c r="H349" s="103"/>
    </row>
    <row r="350" spans="1:8" hidden="1" x14ac:dyDescent="0.2">
      <c r="A350" s="100" t="str">
        <f>IF(ISBLANK('Personnel Yr 1'!G55),"",'Personnel Yr 1'!G55)</f>
        <v/>
      </c>
      <c r="B350" s="98" t="s">
        <v>139</v>
      </c>
      <c r="C350" s="99">
        <f>SUM('Personnel Yr 1'!K55)</f>
        <v>0</v>
      </c>
      <c r="D350" s="99">
        <f>SUM('Personnel Yr 2'!K55)</f>
        <v>0</v>
      </c>
      <c r="E350" s="99">
        <f>SUM('Personnel Yr 3'!K55)</f>
        <v>0</v>
      </c>
      <c r="F350" s="99">
        <f>SUM('Personnel Yr 4'!K55)</f>
        <v>0</v>
      </c>
      <c r="G350" s="99">
        <f>SUM('Personnel Yr 5'!K55)</f>
        <v>0</v>
      </c>
      <c r="H350" s="99">
        <f>SUM(C350:G350)</f>
        <v>0</v>
      </c>
    </row>
    <row r="351" spans="1:8" hidden="1" x14ac:dyDescent="0.2">
      <c r="A351" s="100"/>
      <c r="B351" s="150" t="s">
        <v>140</v>
      </c>
      <c r="C351" s="144">
        <f>C350/3.5</f>
        <v>0</v>
      </c>
      <c r="D351" s="144">
        <f>D350/3.5</f>
        <v>0</v>
      </c>
      <c r="E351" s="144">
        <f>E350/3.5</f>
        <v>0</v>
      </c>
      <c r="F351" s="144">
        <f>F350/3.5</f>
        <v>0</v>
      </c>
      <c r="G351" s="144">
        <f>G350/3.5</f>
        <v>0</v>
      </c>
      <c r="H351" s="148"/>
    </row>
    <row r="352" spans="1:8" hidden="1" x14ac:dyDescent="0.2">
      <c r="A352" s="101"/>
      <c r="B352" s="102" t="s">
        <v>141</v>
      </c>
      <c r="C352" s="99">
        <f>SUM('Personnel Yr 1'!J55)</f>
        <v>0</v>
      </c>
      <c r="D352" s="99">
        <f>SUM('Personnel Yr 2'!J55)</f>
        <v>0</v>
      </c>
      <c r="E352" s="99">
        <f>SUM('Personnel Yr 3'!J55)</f>
        <v>0</v>
      </c>
      <c r="F352" s="99">
        <f>SUM('Personnel Yr 4'!J55)</f>
        <v>0</v>
      </c>
      <c r="G352" s="99">
        <f>SUM('Personnel Yr 5'!J55)</f>
        <v>0</v>
      </c>
      <c r="H352" s="99">
        <f>SUM(C352:G352)</f>
        <v>0</v>
      </c>
    </row>
    <row r="353" spans="1:8" hidden="1" x14ac:dyDescent="0.2">
      <c r="A353" s="101"/>
      <c r="B353" s="146" t="s">
        <v>142</v>
      </c>
      <c r="C353" s="147">
        <f>C352/8.5</f>
        <v>0</v>
      </c>
      <c r="D353" s="147">
        <f>D352/8.5</f>
        <v>0</v>
      </c>
      <c r="E353" s="147">
        <f>E352/8.5</f>
        <v>0</v>
      </c>
      <c r="F353" s="147">
        <f>F352/8.5</f>
        <v>0</v>
      </c>
      <c r="G353" s="147">
        <f>G352/8.5</f>
        <v>0</v>
      </c>
      <c r="H353" s="148"/>
    </row>
    <row r="354" spans="1:8" hidden="1" x14ac:dyDescent="0.2">
      <c r="A354" s="106"/>
      <c r="B354" s="104" t="s">
        <v>143</v>
      </c>
      <c r="C354" s="99">
        <f>SUM('Personnel Yr 1'!I55)</f>
        <v>0</v>
      </c>
      <c r="D354" s="99">
        <f>SUM('Personnel Yr 2'!I55)</f>
        <v>0</v>
      </c>
      <c r="E354" s="99">
        <f>SUM('Personnel Yr 3'!I55)</f>
        <v>0</v>
      </c>
      <c r="F354" s="99">
        <f>SUM('Personnel Yr 4'!I55)</f>
        <v>0</v>
      </c>
      <c r="G354" s="99">
        <f>SUM('Personnel Yr 5'!I55)</f>
        <v>0</v>
      </c>
      <c r="H354" s="99">
        <f>SUM(C354:G354)</f>
        <v>0</v>
      </c>
    </row>
    <row r="355" spans="1:8" hidden="1" x14ac:dyDescent="0.2">
      <c r="A355" s="125"/>
      <c r="B355" s="146" t="s">
        <v>144</v>
      </c>
      <c r="C355" s="147">
        <f>C354/12</f>
        <v>0</v>
      </c>
      <c r="D355" s="147">
        <f>D354/12</f>
        <v>0</v>
      </c>
      <c r="E355" s="147">
        <f>E354/12</f>
        <v>0</v>
      </c>
      <c r="F355" s="147">
        <f>F354/12</f>
        <v>0</v>
      </c>
      <c r="G355" s="147">
        <f>G354/12</f>
        <v>0</v>
      </c>
      <c r="H355" s="149"/>
    </row>
    <row r="356" spans="1:8" hidden="1" x14ac:dyDescent="0.2">
      <c r="A356" s="777" t="str">
        <f>CONCATENATE('Personnel Yr 1'!B56, IF(OR(ISBLANK('Personnel Yr 1'!B56),'Personnel Yr 1'!B56=""),""," "),'Personnel Yr 1'!C56, " ",'Personnel Yr 1'!D56,IF(OR(ISBLANK('Personnel Yr 1'!D56),'Personnel Yr 1'!D56=""),""," "),'Personnel Yr 1'!E56," ",'Personnel Yr 1'!F56)</f>
        <v xml:space="preserve">  </v>
      </c>
      <c r="B356" s="778"/>
      <c r="C356" s="105"/>
      <c r="D356" s="105"/>
      <c r="E356" s="105"/>
      <c r="F356" s="105"/>
      <c r="G356" s="105"/>
      <c r="H356" s="103"/>
    </row>
    <row r="357" spans="1:8" hidden="1" x14ac:dyDescent="0.2">
      <c r="A357" s="97" t="str">
        <f>IF(ISBLANK('Personnel Yr 1'!G56),"",'Personnel Yr 1'!G56)</f>
        <v/>
      </c>
      <c r="B357" s="98" t="s">
        <v>139</v>
      </c>
      <c r="C357" s="99">
        <f>SUM('Personnel Yr 1'!K56)</f>
        <v>0</v>
      </c>
      <c r="D357" s="99">
        <f>SUM('Personnel Yr 2'!K56)</f>
        <v>0</v>
      </c>
      <c r="E357" s="99">
        <f>SUM('Personnel Yr 3'!K56)</f>
        <v>0</v>
      </c>
      <c r="F357" s="99">
        <f>SUM('Personnel Yr 4'!K56)</f>
        <v>0</v>
      </c>
      <c r="G357" s="99">
        <f>SUM('Personnel Yr 4'!K56)</f>
        <v>0</v>
      </c>
      <c r="H357" s="99">
        <f>SUM(C357:G357)</f>
        <v>0</v>
      </c>
    </row>
    <row r="358" spans="1:8" hidden="1" x14ac:dyDescent="0.2">
      <c r="A358" s="100"/>
      <c r="B358" s="150" t="s">
        <v>140</v>
      </c>
      <c r="C358" s="144">
        <f>C357/3.5</f>
        <v>0</v>
      </c>
      <c r="D358" s="144">
        <f>D357/3.5</f>
        <v>0</v>
      </c>
      <c r="E358" s="144">
        <f>E357/3.5</f>
        <v>0</v>
      </c>
      <c r="F358" s="144">
        <f>F357/3.5</f>
        <v>0</v>
      </c>
      <c r="G358" s="144">
        <f>G357/3.5</f>
        <v>0</v>
      </c>
      <c r="H358" s="148"/>
    </row>
    <row r="359" spans="1:8" hidden="1" x14ac:dyDescent="0.2">
      <c r="A359" s="101"/>
      <c r="B359" s="102" t="s">
        <v>141</v>
      </c>
      <c r="C359" s="99">
        <f>SUM('Personnel Yr 1'!J56)</f>
        <v>0</v>
      </c>
      <c r="D359" s="99">
        <f>SUM('Personnel Yr 2'!J56)</f>
        <v>0</v>
      </c>
      <c r="E359" s="99">
        <f>SUM('Personnel Yr 3'!J56)</f>
        <v>0</v>
      </c>
      <c r="F359" s="99">
        <f>SUM('Personnel Yr 4'!J56)</f>
        <v>0</v>
      </c>
      <c r="G359" s="99">
        <f>SUM('Personnel Yr 5'!J56)</f>
        <v>0</v>
      </c>
      <c r="H359" s="99">
        <f>SUM(C359:G359)</f>
        <v>0</v>
      </c>
    </row>
    <row r="360" spans="1:8" hidden="1" x14ac:dyDescent="0.2">
      <c r="A360" s="101"/>
      <c r="B360" s="146" t="s">
        <v>142</v>
      </c>
      <c r="C360" s="147">
        <f>C359/8.5</f>
        <v>0</v>
      </c>
      <c r="D360" s="147">
        <f>D359/8.5</f>
        <v>0</v>
      </c>
      <c r="E360" s="147">
        <f>E359/8.5</f>
        <v>0</v>
      </c>
      <c r="F360" s="147">
        <f>F359/8.5</f>
        <v>0</v>
      </c>
      <c r="G360" s="147">
        <f>G359/8.5</f>
        <v>0</v>
      </c>
      <c r="H360" s="148"/>
    </row>
    <row r="361" spans="1:8" hidden="1" x14ac:dyDescent="0.2">
      <c r="A361" s="106"/>
      <c r="B361" s="104" t="s">
        <v>143</v>
      </c>
      <c r="C361" s="99">
        <f>SUM('Personnel Yr 1'!I56)</f>
        <v>0</v>
      </c>
      <c r="D361" s="99">
        <f>SUM('Personnel Yr 2'!I56)</f>
        <v>0</v>
      </c>
      <c r="E361" s="99">
        <f>SUM('Personnel Yr 3'!I56)</f>
        <v>0</v>
      </c>
      <c r="F361" s="99">
        <f>SUM('Personnel Yr 4'!I56)</f>
        <v>0</v>
      </c>
      <c r="G361" s="99">
        <f>SUM('Personnel Yr 5'!I56)</f>
        <v>0</v>
      </c>
      <c r="H361" s="99">
        <f>SUM(C361:G361)</f>
        <v>0</v>
      </c>
    </row>
    <row r="362" spans="1:8" hidden="1" x14ac:dyDescent="0.2">
      <c r="A362" s="125"/>
      <c r="B362" s="146" t="s">
        <v>144</v>
      </c>
      <c r="C362" s="147">
        <f>C361/12</f>
        <v>0</v>
      </c>
      <c r="D362" s="147">
        <f>D361/12</f>
        <v>0</v>
      </c>
      <c r="E362" s="147">
        <f>E361/12</f>
        <v>0</v>
      </c>
      <c r="F362" s="147">
        <f>F361/12</f>
        <v>0</v>
      </c>
      <c r="G362" s="147">
        <f>G361/12</f>
        <v>0</v>
      </c>
      <c r="H362" s="151"/>
    </row>
    <row r="363" spans="1:8" hidden="1" x14ac:dyDescent="0.2">
      <c r="A363" s="777" t="str">
        <f>CONCATENATE('Personnel Yr 1'!B57, IF(OR(ISBLANK('Personnel Yr 1'!B57),'Personnel Yr 1'!B57=""),""," "),'Personnel Yr 1'!C57, " ",'Personnel Yr 1'!D57,IF(OR(ISBLANK('Personnel Yr 1'!D57),'Personnel Yr 1'!D57=""),""," "),'Personnel Yr 1'!E57," ",'Personnel Yr 1'!F57)</f>
        <v xml:space="preserve">  </v>
      </c>
      <c r="B363" s="778"/>
      <c r="C363" s="105"/>
      <c r="D363" s="105"/>
      <c r="E363" s="105"/>
      <c r="F363" s="105"/>
      <c r="G363" s="105"/>
      <c r="H363" s="103"/>
    </row>
    <row r="364" spans="1:8" hidden="1" x14ac:dyDescent="0.2">
      <c r="A364" s="97" t="str">
        <f>IF(ISBLANK('Personnel Yr 1'!G57),"",'Personnel Yr 1'!G57)</f>
        <v/>
      </c>
      <c r="B364" s="98" t="s">
        <v>139</v>
      </c>
      <c r="C364" s="99">
        <f>SUM('Personnel Yr 1'!K57)</f>
        <v>0</v>
      </c>
      <c r="D364" s="99">
        <f>SUM('Personnel Yr 2'!K57)</f>
        <v>0</v>
      </c>
      <c r="E364" s="99">
        <f>SUM('Personnel Yr 3'!K57)</f>
        <v>0</v>
      </c>
      <c r="F364" s="99">
        <f>SUM('Personnel Yr 4'!K57)</f>
        <v>0</v>
      </c>
      <c r="G364" s="99">
        <f>SUM('Personnel Yr 4'!K57)</f>
        <v>0</v>
      </c>
      <c r="H364" s="99">
        <f>SUM(C364:G364)</f>
        <v>0</v>
      </c>
    </row>
    <row r="365" spans="1:8" hidden="1" x14ac:dyDescent="0.2">
      <c r="A365" s="100"/>
      <c r="B365" s="150" t="s">
        <v>140</v>
      </c>
      <c r="C365" s="144">
        <f>C364/3.5</f>
        <v>0</v>
      </c>
      <c r="D365" s="144">
        <f>D364/3.5</f>
        <v>0</v>
      </c>
      <c r="E365" s="144">
        <f>E364/3.5</f>
        <v>0</v>
      </c>
      <c r="F365" s="144">
        <f>F364/3.5</f>
        <v>0</v>
      </c>
      <c r="G365" s="144">
        <f>G364/3.5</f>
        <v>0</v>
      </c>
      <c r="H365" s="148"/>
    </row>
    <row r="366" spans="1:8" hidden="1" x14ac:dyDescent="0.2">
      <c r="A366" s="101"/>
      <c r="B366" s="102" t="s">
        <v>141</v>
      </c>
      <c r="C366" s="99">
        <f>SUM('Personnel Yr 1'!J57)</f>
        <v>0</v>
      </c>
      <c r="D366" s="99">
        <f>SUM('Personnel Yr 2'!J57)</f>
        <v>0</v>
      </c>
      <c r="E366" s="99">
        <f>SUM('Personnel Yr 3'!J57)</f>
        <v>0</v>
      </c>
      <c r="F366" s="99">
        <f>SUM('Personnel Yr 4'!J57)</f>
        <v>0</v>
      </c>
      <c r="G366" s="99">
        <f>SUM('Personnel Yr 5'!J57)</f>
        <v>0</v>
      </c>
      <c r="H366" s="99">
        <f>SUM(C366:G366)</f>
        <v>0</v>
      </c>
    </row>
    <row r="367" spans="1:8" hidden="1" x14ac:dyDescent="0.2">
      <c r="A367" s="101"/>
      <c r="B367" s="146" t="s">
        <v>142</v>
      </c>
      <c r="C367" s="147">
        <f>C366/8.5</f>
        <v>0</v>
      </c>
      <c r="D367" s="147">
        <f>D366/8.5</f>
        <v>0</v>
      </c>
      <c r="E367" s="147">
        <f>E366/8.5</f>
        <v>0</v>
      </c>
      <c r="F367" s="147">
        <f>F366/8.5</f>
        <v>0</v>
      </c>
      <c r="G367" s="147">
        <f>G366/8.5</f>
        <v>0</v>
      </c>
      <c r="H367" s="148"/>
    </row>
    <row r="368" spans="1:8" hidden="1" x14ac:dyDescent="0.2">
      <c r="A368" s="106"/>
      <c r="B368" s="104" t="s">
        <v>143</v>
      </c>
      <c r="C368" s="99">
        <f>SUM('Personnel Yr 1'!I57)</f>
        <v>0</v>
      </c>
      <c r="D368" s="99">
        <f>SUM('Personnel Yr 2'!I57)</f>
        <v>0</v>
      </c>
      <c r="E368" s="99">
        <f>SUM('Personnel Yr 3'!I57)</f>
        <v>0</v>
      </c>
      <c r="F368" s="99">
        <f>SUM('Personnel Yr 4'!I57)</f>
        <v>0</v>
      </c>
      <c r="G368" s="99">
        <f>SUM('Personnel Yr 5'!I57)</f>
        <v>0</v>
      </c>
      <c r="H368" s="99">
        <f>SUM(C368:G368)</f>
        <v>0</v>
      </c>
    </row>
    <row r="369" spans="1:8" hidden="1" x14ac:dyDescent="0.2">
      <c r="A369" s="125"/>
      <c r="B369" s="146" t="s">
        <v>144</v>
      </c>
      <c r="C369" s="147">
        <f>C368/12</f>
        <v>0</v>
      </c>
      <c r="D369" s="147">
        <f>D368/12</f>
        <v>0</v>
      </c>
      <c r="E369" s="147">
        <f>E368/12</f>
        <v>0</v>
      </c>
      <c r="F369" s="147">
        <f>F368/12</f>
        <v>0</v>
      </c>
      <c r="G369" s="147">
        <f>G368/12</f>
        <v>0</v>
      </c>
      <c r="H369" s="151"/>
    </row>
    <row r="370" spans="1:8" hidden="1" x14ac:dyDescent="0.2">
      <c r="A370" s="777" t="str">
        <f>CONCATENATE('Personnel Yr 1'!B58, IF(OR(ISBLANK('Personnel Yr 1'!B58),'Personnel Yr 1'!B58=""),""," "),'Personnel Yr 1'!C58, " ",'Personnel Yr 1'!D58,IF(OR(ISBLANK('Personnel Yr 1'!D58),'Personnel Yr 1'!D58=""),""," "),'Personnel Yr 1'!E58," ",'Personnel Yr 1'!F58)</f>
        <v xml:space="preserve">  </v>
      </c>
      <c r="B370" s="778"/>
      <c r="C370" s="108"/>
      <c r="D370" s="108"/>
      <c r="E370" s="108"/>
      <c r="F370" s="108"/>
      <c r="G370" s="124"/>
      <c r="H370" s="123"/>
    </row>
    <row r="371" spans="1:8" hidden="1" x14ac:dyDescent="0.2">
      <c r="A371" s="97" t="str">
        <f>IF(ISBLANK('Personnel Yr 1'!G58),"",'Personnel Yr 1'!G58)</f>
        <v/>
      </c>
      <c r="B371" s="98" t="s">
        <v>139</v>
      </c>
      <c r="C371" s="99">
        <f>SUM('Personnel Yr 1'!K58)</f>
        <v>0</v>
      </c>
      <c r="D371" s="99">
        <f>SUM('Personnel Yr 2'!K58)</f>
        <v>0</v>
      </c>
      <c r="E371" s="99">
        <f>SUM('Personnel Yr 3'!K58)</f>
        <v>0</v>
      </c>
      <c r="F371" s="99">
        <f>SUM('Personnel Yr 4'!K58)</f>
        <v>0</v>
      </c>
      <c r="G371" s="99">
        <f>SUM('Personnel Yr 5'!K58)</f>
        <v>0</v>
      </c>
      <c r="H371" s="99">
        <f>SUM(C371:G371)</f>
        <v>0</v>
      </c>
    </row>
    <row r="372" spans="1:8" hidden="1" x14ac:dyDescent="0.2">
      <c r="A372" s="100"/>
      <c r="B372" s="150" t="s">
        <v>140</v>
      </c>
      <c r="C372" s="144">
        <f>C371/3.5</f>
        <v>0</v>
      </c>
      <c r="D372" s="144">
        <f>D371/3.5</f>
        <v>0</v>
      </c>
      <c r="E372" s="144">
        <f>E371/3.5</f>
        <v>0</v>
      </c>
      <c r="F372" s="144">
        <f>F371/3.5</f>
        <v>0</v>
      </c>
      <c r="G372" s="144">
        <f>G371/3.5</f>
        <v>0</v>
      </c>
      <c r="H372" s="148"/>
    </row>
    <row r="373" spans="1:8" hidden="1" x14ac:dyDescent="0.2">
      <c r="A373" s="101"/>
      <c r="B373" s="102" t="s">
        <v>141</v>
      </c>
      <c r="C373" s="99">
        <f>SUM('Personnel Yr 1'!J58)</f>
        <v>0</v>
      </c>
      <c r="D373" s="99">
        <f>SUM('Personnel Yr 2'!J58)</f>
        <v>0</v>
      </c>
      <c r="E373" s="99">
        <f>SUM('Personnel Yr 3'!J58)</f>
        <v>0</v>
      </c>
      <c r="F373" s="99">
        <f>SUM('Personnel Yr 4'!J58)</f>
        <v>0</v>
      </c>
      <c r="G373" s="99">
        <f>SUM('Personnel Yr 5'!J58)</f>
        <v>0</v>
      </c>
      <c r="H373" s="99">
        <f>SUM(C373:G373)</f>
        <v>0</v>
      </c>
    </row>
    <row r="374" spans="1:8" hidden="1" x14ac:dyDescent="0.2">
      <c r="A374" s="101"/>
      <c r="B374" s="146" t="s">
        <v>142</v>
      </c>
      <c r="C374" s="147">
        <f>C373/8.5</f>
        <v>0</v>
      </c>
      <c r="D374" s="147">
        <f>D373/8.5</f>
        <v>0</v>
      </c>
      <c r="E374" s="147">
        <f>E373/8.5</f>
        <v>0</v>
      </c>
      <c r="F374" s="147">
        <f>F373/8.5</f>
        <v>0</v>
      </c>
      <c r="G374" s="147">
        <f>G373/8.5</f>
        <v>0</v>
      </c>
      <c r="H374" s="148"/>
    </row>
    <row r="375" spans="1:8" hidden="1" x14ac:dyDescent="0.2">
      <c r="A375" s="101"/>
      <c r="B375" s="104" t="s">
        <v>143</v>
      </c>
      <c r="C375" s="99">
        <f>SUM('Personnel Yr 1'!I58)</f>
        <v>0</v>
      </c>
      <c r="D375" s="99">
        <f>SUM('Personnel Yr 2'!I58)</f>
        <v>0</v>
      </c>
      <c r="E375" s="99">
        <f>SUM('Personnel Yr 3'!I58)</f>
        <v>0</v>
      </c>
      <c r="F375" s="99">
        <f>SUM('Personnel Yr 4'!I58)</f>
        <v>0</v>
      </c>
      <c r="G375" s="99">
        <f>SUM('Personnel Yr 5'!I58)</f>
        <v>0</v>
      </c>
      <c r="H375" s="99">
        <f>SUM(C375:G375)</f>
        <v>0</v>
      </c>
    </row>
    <row r="376" spans="1:8" ht="13.5" hidden="1" thickBot="1" x14ac:dyDescent="0.25">
      <c r="A376" s="107"/>
      <c r="B376" s="152" t="s">
        <v>144</v>
      </c>
      <c r="C376" s="153">
        <f>C375/12</f>
        <v>0</v>
      </c>
      <c r="D376" s="153">
        <f>D375/12</f>
        <v>0</v>
      </c>
      <c r="E376" s="153">
        <f>E375/12</f>
        <v>0</v>
      </c>
      <c r="F376" s="153">
        <f>F375/12</f>
        <v>0</v>
      </c>
      <c r="G376" s="153">
        <f>G375/12</f>
        <v>0</v>
      </c>
      <c r="H376" s="154"/>
    </row>
  </sheetData>
  <sheetProtection algorithmName="SHA-512" hashValue="c31XPW7p2nQA3hFw6cOXITmZPZyQFDvlUV1kJ1rhck6XG0m6gLzWrmA8UOY4Z2/VkToLFqtwzjABOL6l6r4uag==" saltValue="ozdr0FKjGJm7/S1SKYaDLQ==" spinCount="100000" sheet="1" objects="1" scenarios="1"/>
  <mergeCells count="136">
    <mergeCell ref="A154:B154"/>
    <mergeCell ref="A142:B142"/>
    <mergeCell ref="A103:B103"/>
    <mergeCell ref="A65:B65"/>
    <mergeCell ref="A116:B116"/>
    <mergeCell ref="A168:B168"/>
    <mergeCell ref="A183:A184"/>
    <mergeCell ref="A173:B173"/>
    <mergeCell ref="A175:B175"/>
    <mergeCell ref="A171:B171"/>
    <mergeCell ref="A176:B176"/>
    <mergeCell ref="A178:B178"/>
    <mergeCell ref="A180:B180"/>
    <mergeCell ref="A122:B122"/>
    <mergeCell ref="A136:B136"/>
    <mergeCell ref="A133:B133"/>
    <mergeCell ref="A135:B135"/>
    <mergeCell ref="A127:B127"/>
    <mergeCell ref="A117:B117"/>
    <mergeCell ref="A126:B126"/>
    <mergeCell ref="A149:B149"/>
    <mergeCell ref="A152:B152"/>
    <mergeCell ref="A163:B163"/>
    <mergeCell ref="A138:B138"/>
    <mergeCell ref="A1:H1"/>
    <mergeCell ref="A102:B102"/>
    <mergeCell ref="A39:B39"/>
    <mergeCell ref="A5:B5"/>
    <mergeCell ref="A41:B41"/>
    <mergeCell ref="A44:B44"/>
    <mergeCell ref="A43:B43"/>
    <mergeCell ref="A10:B10"/>
    <mergeCell ref="A22:B22"/>
    <mergeCell ref="A18:B18"/>
    <mergeCell ref="A14:B14"/>
    <mergeCell ref="A93:B93"/>
    <mergeCell ref="A101:B101"/>
    <mergeCell ref="A58:B58"/>
    <mergeCell ref="A86:B86"/>
    <mergeCell ref="A72:B72"/>
    <mergeCell ref="A79:B79"/>
    <mergeCell ref="A51:B51"/>
    <mergeCell ref="A40:B40"/>
    <mergeCell ref="A38:B38"/>
    <mergeCell ref="A34:B34"/>
    <mergeCell ref="A30:B30"/>
    <mergeCell ref="A26:B26"/>
    <mergeCell ref="A4:B4"/>
    <mergeCell ref="A140:B140"/>
    <mergeCell ref="A139:B139"/>
    <mergeCell ref="A128:B128"/>
    <mergeCell ref="A118:B118"/>
    <mergeCell ref="A124:B124"/>
    <mergeCell ref="A130:B130"/>
    <mergeCell ref="A132:B132"/>
    <mergeCell ref="A131:B131"/>
    <mergeCell ref="A137:B137"/>
    <mergeCell ref="A121:B121"/>
    <mergeCell ref="A111:B111"/>
    <mergeCell ref="A119:B119"/>
    <mergeCell ref="A120:B120"/>
    <mergeCell ref="A112:B112"/>
    <mergeCell ref="A114:B114"/>
    <mergeCell ref="A108:B108"/>
    <mergeCell ref="A104:B104"/>
    <mergeCell ref="A107:B107"/>
    <mergeCell ref="A105:B105"/>
    <mergeCell ref="A106:B106"/>
    <mergeCell ref="A109:B109"/>
    <mergeCell ref="A110:B110"/>
    <mergeCell ref="A266:B266"/>
    <mergeCell ref="A146:B146"/>
    <mergeCell ref="A150:B150"/>
    <mergeCell ref="A153:B153"/>
    <mergeCell ref="A151:B151"/>
    <mergeCell ref="A144:B144"/>
    <mergeCell ref="A143:B143"/>
    <mergeCell ref="A148:B148"/>
    <mergeCell ref="A199:A200"/>
    <mergeCell ref="A185:A186"/>
    <mergeCell ref="A187:A188"/>
    <mergeCell ref="A165:B165"/>
    <mergeCell ref="A162:B162"/>
    <mergeCell ref="A161:B161"/>
    <mergeCell ref="A145:B145"/>
    <mergeCell ref="A189:A190"/>
    <mergeCell ref="A191:A192"/>
    <mergeCell ref="A195:A196"/>
    <mergeCell ref="A213:B213"/>
    <mergeCell ref="A217:B217"/>
    <mergeCell ref="A237:B237"/>
    <mergeCell ref="A253:B253"/>
    <mergeCell ref="A147:B147"/>
    <mergeCell ref="A155:B155"/>
    <mergeCell ref="A156:B156"/>
    <mergeCell ref="A157:B157"/>
    <mergeCell ref="A241:B241"/>
    <mergeCell ref="A233:B233"/>
    <mergeCell ref="A229:B229"/>
    <mergeCell ref="A221:B221"/>
    <mergeCell ref="A225:B225"/>
    <mergeCell ref="A202:B202"/>
    <mergeCell ref="A169:B169"/>
    <mergeCell ref="A181:A182"/>
    <mergeCell ref="A159:B159"/>
    <mergeCell ref="A160:B160"/>
    <mergeCell ref="A201:B201"/>
    <mergeCell ref="A197:A198"/>
    <mergeCell ref="A193:A194"/>
    <mergeCell ref="A209:B209"/>
    <mergeCell ref="A204:B204"/>
    <mergeCell ref="A158:B158"/>
    <mergeCell ref="A267:B267"/>
    <mergeCell ref="A268:B268"/>
    <mergeCell ref="A257:B257"/>
    <mergeCell ref="A261:B261"/>
    <mergeCell ref="A245:B245"/>
    <mergeCell ref="A249:B249"/>
    <mergeCell ref="A370:B370"/>
    <mergeCell ref="A342:B342"/>
    <mergeCell ref="A335:B335"/>
    <mergeCell ref="A363:B363"/>
    <mergeCell ref="A306:B306"/>
    <mergeCell ref="A313:B313"/>
    <mergeCell ref="A320:B320"/>
    <mergeCell ref="A270:B270"/>
    <mergeCell ref="A285:B285"/>
    <mergeCell ref="A292:B292"/>
    <mergeCell ref="A299:B299"/>
    <mergeCell ref="A328:B328"/>
    <mergeCell ref="A327:C327"/>
    <mergeCell ref="A349:B349"/>
    <mergeCell ref="A356:B356"/>
    <mergeCell ref="A271:B271"/>
    <mergeCell ref="A278:B278"/>
    <mergeCell ref="A265:B265"/>
  </mergeCells>
  <phoneticPr fontId="5" type="noConversion"/>
  <pageMargins left="0.5" right="0.5" top="0.5" bottom="0.5" header="0.25" footer="0.25"/>
  <pageSetup fitToHeight="0" orientation="portrait" r:id="rId1"/>
  <headerFooter alignWithMargins="0">
    <oddFooter>&amp;L&amp;D&amp;C&amp;P&amp;R&amp;T</oddFooter>
  </headerFooter>
  <ignoredErrors>
    <ignoredError sqref="C47:D47 E47:G47 C54:G54 C61:G61 C68:G68 C75:G75 C82:G82 C89:G89 C96:G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Instructions</vt:lpstr>
      <vt:lpstr>Personnel Yr 1</vt:lpstr>
      <vt:lpstr>Personnel Yr 2</vt:lpstr>
      <vt:lpstr>Personnel Yr 3</vt:lpstr>
      <vt:lpstr>Personnel Yr 4</vt:lpstr>
      <vt:lpstr>Personnel Yr 5</vt:lpstr>
      <vt:lpstr>Non-personnel</vt:lpstr>
      <vt:lpstr>Summary</vt:lpstr>
      <vt:lpstr>CUSE Grant Budget Form</vt:lpstr>
      <vt:lpstr>NIH Mod-Even Dist</vt:lpstr>
      <vt:lpstr>NIH Mod-Free</vt:lpstr>
      <vt:lpstr>OSA</vt:lpstr>
      <vt:lpstr>Drop Choices</vt:lpstr>
      <vt:lpstr>Justification</vt:lpstr>
      <vt:lpstr>424a</vt:lpstr>
      <vt:lpstr>ED524</vt:lpstr>
      <vt:lpstr>Change Log</vt:lpstr>
      <vt:lpstr>Ben</vt:lpstr>
      <vt:lpstr>Confirm2</vt:lpstr>
      <vt:lpstr>Duration</vt:lpstr>
      <vt:lpstr>Grad</vt:lpstr>
      <vt:lpstr>GradR</vt:lpstr>
      <vt:lpstr>IDCDesc</vt:lpstr>
      <vt:lpstr>IDCDesc2</vt:lpstr>
      <vt:lpstr>IDCList</vt:lpstr>
      <vt:lpstr>IDCList2</vt:lpstr>
      <vt:lpstr>IDCRate</vt:lpstr>
      <vt:lpstr>IDCRate2</vt:lpstr>
      <vt:lpstr>IDCType</vt:lpstr>
      <vt:lpstr>NIHGradLimit</vt:lpstr>
      <vt:lpstr>NIHSalaryCap</vt:lpstr>
      <vt:lpstr>Per</vt:lpstr>
      <vt:lpstr>Prefix</vt:lpstr>
      <vt:lpstr>Instructions!Print_Area</vt:lpstr>
      <vt:lpstr>Justification!Print_Area</vt:lpstr>
      <vt:lpstr>'NIH Mod-Even Dist'!Print_Area</vt:lpstr>
      <vt:lpstr>'NIH Mod-Free'!Print_Area</vt:lpstr>
      <vt:lpstr>'Non-personnel'!Print_Area</vt:lpstr>
      <vt:lpstr>'Personnel Yr 1'!Print_Area</vt:lpstr>
      <vt:lpstr>'Personnel Yr 2'!Print_Area</vt:lpstr>
      <vt:lpstr>'Personnel Yr 3'!Print_Area</vt:lpstr>
      <vt:lpstr>'Personnel Yr 4'!Print_Area</vt:lpstr>
      <vt:lpstr>'Personnel Yr 5'!Print_Area</vt:lpstr>
      <vt:lpstr>Summary!Print_Area</vt:lpstr>
      <vt:lpstr>'CUSE Grant Budget Form'!Print_Titles</vt:lpstr>
      <vt:lpstr>'Non-personnel'!Print_Titles</vt:lpstr>
      <vt:lpstr>Roles</vt:lpstr>
      <vt:lpstr>TuitionDesc</vt:lpstr>
      <vt:lpstr>TuitionRate</vt:lpstr>
    </vt:vector>
  </TitlesOfParts>
  <Company>Syracuse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Taub</dc:creator>
  <cp:lastModifiedBy>Jeffrey T Falchi</cp:lastModifiedBy>
  <cp:lastPrinted>2020-12-18T21:21:25Z</cp:lastPrinted>
  <dcterms:created xsi:type="dcterms:W3CDTF">2007-05-17T13:06:29Z</dcterms:created>
  <dcterms:modified xsi:type="dcterms:W3CDTF">2021-12-10T19:35:11Z</dcterms:modified>
</cp:coreProperties>
</file>