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G:\AAF\Proposal Support Services\Intramural Funding\CUSE Grants\CUSE Grants 2022\"/>
    </mc:Choice>
  </mc:AlternateContent>
  <xr:revisionPtr revIDLastSave="0" documentId="13_ncr:1_{031AF537-EC74-410A-9E96-95D3D20B137E}" xr6:coauthVersionLast="47" xr6:coauthVersionMax="47" xr10:uidLastSave="{00000000-0000-0000-0000-000000000000}"/>
  <workbookProtection workbookAlgorithmName="SHA-512" workbookHashValue="fpR/Dao/f5jAvV8t9p664h4rqygk5vLx/ae303alsQdYH61hvpvj2+7usvMeNrC7Ved/qSUg32bUL7nghiOH0g==" workbookSaltValue="ud2DwShOPWxHOuqtSLyErg==" workbookSpinCount="100000" lockStructure="1"/>
  <bookViews>
    <workbookView xWindow="-25320" yWindow="-15" windowWidth="25440" windowHeight="15390" tabRatio="806" xr2:uid="{00000000-000D-0000-FFFF-FFFF00000000}"/>
  </bookViews>
  <sheets>
    <sheet name="Instructions" sheetId="21" r:id="rId1"/>
    <sheet name="Personnel Yr 1" sheetId="1" r:id="rId2"/>
    <sheet name="Personnel Yr 2" sheetId="9" r:id="rId3"/>
    <sheet name="Personnel Yr 3" sheetId="10" state="hidden" r:id="rId4"/>
    <sheet name="Personnel Yr 4" sheetId="11" state="hidden" r:id="rId5"/>
    <sheet name="Personnel Yr 5" sheetId="12" state="hidden" r:id="rId6"/>
    <sheet name="Non-personnel" sheetId="2" r:id="rId7"/>
    <sheet name="Summary" sheetId="8" state="hidden" r:id="rId8"/>
    <sheet name="CUSE Grant Budget Form" sheetId="13" r:id="rId9"/>
    <sheet name="NIH Mod-Even Dist" sheetId="23" state="hidden" r:id="rId10"/>
    <sheet name="NIH Mod-Free" sheetId="22" state="hidden" r:id="rId11"/>
    <sheet name="OSA" sheetId="24" state="hidden" r:id="rId12"/>
    <sheet name="Drop Choices" sheetId="3" state="hidden" r:id="rId13"/>
    <sheet name="Justification" sheetId="17" state="hidden" r:id="rId14"/>
    <sheet name="424a" sheetId="18" state="hidden" r:id="rId15"/>
    <sheet name="ED524" sheetId="19" state="hidden" r:id="rId16"/>
    <sheet name="Change Log" sheetId="20" state="hidden" r:id="rId17"/>
  </sheets>
  <externalReferences>
    <externalReference r:id="rId18"/>
  </externalReferences>
  <definedNames>
    <definedName name="Ben" localSheetId="0">'[1]Drop Choices'!$C$4:$C$6</definedName>
    <definedName name="Ben">'Drop Choices'!$C$5:$C$8</definedName>
    <definedName name="Confirm2">'Drop Choices'!$E$2</definedName>
    <definedName name="Duration" localSheetId="0">'[1]Drop Choices'!$M$2:$M$6</definedName>
    <definedName name="Duration">'Drop Choices'!$M$2:$M$3</definedName>
    <definedName name="Grad" localSheetId="0">'[1]Drop Choices'!$C$2:$C$3</definedName>
    <definedName name="Grad">'Drop Choices'!$C$2:$C$4</definedName>
    <definedName name="GradR" localSheetId="0">'[1]Drop Choices'!$D$2:$D$3</definedName>
    <definedName name="GradR">'Drop Choices'!$D$2:$D$4</definedName>
    <definedName name="IDCDesc" localSheetId="0">'[1]Drop Choices'!$G$2:$G$7</definedName>
    <definedName name="IDCDesc">'Drop Choices'!$G$2:$G$7</definedName>
    <definedName name="IDCDesc2" localSheetId="0">'[1]Drop Choices'!$J$2:$J$7</definedName>
    <definedName name="IDCDesc2">'Drop Choices'!$J$2:$J$7</definedName>
    <definedName name="IDCList">'Drop Choices'!$F$2:$F$7</definedName>
    <definedName name="IDCList2" localSheetId="0">'[1]Drop Choices'!$I$2:$I$7</definedName>
    <definedName name="IDCList2">'Drop Choices'!$I$2:$I$7</definedName>
    <definedName name="IDCRate" localSheetId="0">'[1]Drop Choices'!$H$2:$H$7</definedName>
    <definedName name="IDCRate">'Drop Choices'!$H$2:$H$7</definedName>
    <definedName name="IDCRate2" localSheetId="0">'[1]Drop Choices'!$K$2:$K$7</definedName>
    <definedName name="IDCRate2">'Drop Choices'!$K$2:$K$7</definedName>
    <definedName name="IDCType" localSheetId="0">'[1]Drop Choices'!$B$2:$B$5</definedName>
    <definedName name="IDCType">'Drop Choices'!$B$2:$B$5</definedName>
    <definedName name="NIHGradLimit">'Drop Choices'!$Q$2</definedName>
    <definedName name="NIHSalaryCap">'Drop Choices'!$P$3</definedName>
    <definedName name="Per" localSheetId="0">'[1]Drop Choices'!$D$4:$D$6</definedName>
    <definedName name="Per">'Drop Choices'!$D$5:$D$8</definedName>
    <definedName name="Prefix" localSheetId="0">'[1]Drop Choices'!$A$2:$A$7</definedName>
    <definedName name="Prefix">'Drop Choices'!$A$2:$A$8</definedName>
    <definedName name="_xlnm.Print_Area" localSheetId="0">Instructions!$A$1:$K$28</definedName>
    <definedName name="_xlnm.Print_Area" localSheetId="13">Justification!$A$1:$B$82</definedName>
    <definedName name="_xlnm.Print_Area" localSheetId="9">'NIH Mod-Even Dist'!$A$1:$I$19</definedName>
    <definedName name="_xlnm.Print_Area" localSheetId="10">'NIH Mod-Free'!$A$1:$I$19</definedName>
    <definedName name="_xlnm.Print_Area" localSheetId="6">'Non-personnel'!$A$1:$S$90</definedName>
    <definedName name="_xlnm.Print_Area" localSheetId="1">'Personnel Yr 1'!$A$1:$N$30</definedName>
    <definedName name="_xlnm.Print_Area" localSheetId="2">'Personnel Yr 2'!$A$1:$N$30</definedName>
    <definedName name="_xlnm.Print_Area" localSheetId="3">'Personnel Yr 3'!$A$1:$N$30</definedName>
    <definedName name="_xlnm.Print_Area" localSheetId="4">'Personnel Yr 4'!$A$1:$N$30</definedName>
    <definedName name="_xlnm.Print_Area" localSheetId="5">'Personnel Yr 5'!$A$1:$N$30</definedName>
    <definedName name="_xlnm.Print_Area" localSheetId="7">Summary!$A$1:$G$32</definedName>
    <definedName name="_xlnm.Print_Titles" localSheetId="8">'CUSE Grant Budget Form'!$1:$3</definedName>
    <definedName name="_xlnm.Print_Titles" localSheetId="6">'Non-personnel'!$1:$3</definedName>
    <definedName name="ReqSal" localSheetId="2">'Personnel Yr 2'!#REF!</definedName>
    <definedName name="ReqSal" localSheetId="3">'Personnel Yr 3'!#REF!</definedName>
    <definedName name="ReqSal" localSheetId="4">'Personnel Yr 4'!#REF!</definedName>
    <definedName name="ReqSal" localSheetId="5">'Personnel Yr 5'!#REF!</definedName>
    <definedName name="Roles" localSheetId="0">'[1]Drop Choices'!$L$2:$L$7</definedName>
    <definedName name="Roles">'Drop Choices'!$L$2:$L$7</definedName>
    <definedName name="TuitionDesc" localSheetId="0">'[1]Drop Choices'!$O$2:$O$5</definedName>
    <definedName name="TuitionDesc">'Drop Choices'!$O$2:$O$6</definedName>
    <definedName name="TuitionRate">'Drop Choices'!$N$2:$N$6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6" i="13" l="1"/>
  <c r="A158" i="13"/>
  <c r="A159" i="13"/>
  <c r="B2" i="13"/>
  <c r="B3" i="13" l="1"/>
  <c r="A157" i="13"/>
  <c r="A119" i="13" l="1"/>
  <c r="H45" i="12" l="1"/>
  <c r="I45" i="12"/>
  <c r="J45" i="12"/>
  <c r="K45" i="12"/>
  <c r="H46" i="12"/>
  <c r="I46" i="12"/>
  <c r="J46" i="12"/>
  <c r="K46" i="12"/>
  <c r="H47" i="12"/>
  <c r="I47" i="12"/>
  <c r="J47" i="12"/>
  <c r="K47" i="12"/>
  <c r="H48" i="12"/>
  <c r="I48" i="12"/>
  <c r="J48" i="12"/>
  <c r="K48" i="12"/>
  <c r="H49" i="12"/>
  <c r="I49" i="12"/>
  <c r="J49" i="12"/>
  <c r="K49" i="12"/>
  <c r="H50" i="12"/>
  <c r="I50" i="12"/>
  <c r="J50" i="12"/>
  <c r="K50" i="12"/>
  <c r="H51" i="12"/>
  <c r="I51" i="12"/>
  <c r="J51" i="12"/>
  <c r="K51" i="12"/>
  <c r="H52" i="12"/>
  <c r="I52" i="12"/>
  <c r="J52" i="12"/>
  <c r="K52" i="12"/>
  <c r="H53" i="12"/>
  <c r="I53" i="12"/>
  <c r="J53" i="12"/>
  <c r="K53" i="12"/>
  <c r="H54" i="12"/>
  <c r="I54" i="12"/>
  <c r="J54" i="12"/>
  <c r="K54" i="12"/>
  <c r="H55" i="12"/>
  <c r="I55" i="12"/>
  <c r="J55" i="12"/>
  <c r="K55" i="12"/>
  <c r="H56" i="12"/>
  <c r="I56" i="12"/>
  <c r="J56" i="12"/>
  <c r="K56" i="12"/>
  <c r="H57" i="12"/>
  <c r="I57" i="12"/>
  <c r="J57" i="12"/>
  <c r="K57" i="12"/>
  <c r="H58" i="12"/>
  <c r="I58" i="12"/>
  <c r="J58" i="12"/>
  <c r="K58" i="12"/>
  <c r="J44" i="12"/>
  <c r="K44" i="12"/>
  <c r="I8" i="12"/>
  <c r="J8" i="12"/>
  <c r="K8" i="12"/>
  <c r="I9" i="12"/>
  <c r="J9" i="12"/>
  <c r="K9" i="12"/>
  <c r="I10" i="12"/>
  <c r="J10" i="12"/>
  <c r="K10" i="12"/>
  <c r="I11" i="12"/>
  <c r="J11" i="12"/>
  <c r="K11" i="12"/>
  <c r="I12" i="12"/>
  <c r="J12" i="12"/>
  <c r="K12" i="12"/>
  <c r="I13" i="12"/>
  <c r="J13" i="12"/>
  <c r="K13" i="12"/>
  <c r="I14" i="12"/>
  <c r="J14" i="12"/>
  <c r="K14" i="12"/>
  <c r="J7" i="12"/>
  <c r="K7" i="12"/>
  <c r="H8" i="12"/>
  <c r="H9" i="12"/>
  <c r="H10" i="12"/>
  <c r="H11" i="12"/>
  <c r="H12" i="12"/>
  <c r="H13" i="12"/>
  <c r="H14" i="12"/>
  <c r="I45" i="11"/>
  <c r="J45" i="11"/>
  <c r="K45" i="11"/>
  <c r="I46" i="11"/>
  <c r="J46" i="11"/>
  <c r="K46" i="11"/>
  <c r="I47" i="11"/>
  <c r="J47" i="11"/>
  <c r="K47" i="11"/>
  <c r="I48" i="11"/>
  <c r="J48" i="11"/>
  <c r="K48" i="11"/>
  <c r="I49" i="11"/>
  <c r="J49" i="11"/>
  <c r="K49" i="11"/>
  <c r="I50" i="11"/>
  <c r="J50" i="11"/>
  <c r="K50" i="11"/>
  <c r="I51" i="11"/>
  <c r="J51" i="11"/>
  <c r="K51" i="11"/>
  <c r="I52" i="11"/>
  <c r="J52" i="11"/>
  <c r="K52" i="11"/>
  <c r="I53" i="11"/>
  <c r="J53" i="11"/>
  <c r="K53" i="11"/>
  <c r="I54" i="11"/>
  <c r="J54" i="11"/>
  <c r="K54" i="11"/>
  <c r="I55" i="11"/>
  <c r="J55" i="11"/>
  <c r="K55" i="11"/>
  <c r="I56" i="11"/>
  <c r="J56" i="11"/>
  <c r="K56" i="11"/>
  <c r="I57" i="11"/>
  <c r="J57" i="11"/>
  <c r="K57" i="11"/>
  <c r="I58" i="11"/>
  <c r="J58" i="11"/>
  <c r="K58" i="11"/>
  <c r="J44" i="11"/>
  <c r="K44" i="11"/>
  <c r="H45" i="11"/>
  <c r="H46" i="11"/>
  <c r="H47" i="11"/>
  <c r="H48" i="11"/>
  <c r="H49" i="11"/>
  <c r="H50" i="11"/>
  <c r="H51" i="11"/>
  <c r="H52" i="11"/>
  <c r="H53" i="11"/>
  <c r="H54" i="11"/>
  <c r="H55" i="11"/>
  <c r="H56" i="11"/>
  <c r="H57" i="11"/>
  <c r="H58" i="11"/>
  <c r="I8" i="11"/>
  <c r="J8" i="11"/>
  <c r="K8" i="11"/>
  <c r="I9" i="11"/>
  <c r="J9" i="11"/>
  <c r="K9" i="11"/>
  <c r="I10" i="11"/>
  <c r="J10" i="11"/>
  <c r="K10" i="11"/>
  <c r="I11" i="11"/>
  <c r="J11" i="11"/>
  <c r="K11" i="11"/>
  <c r="I12" i="11"/>
  <c r="J12" i="11"/>
  <c r="K12" i="11"/>
  <c r="I13" i="11"/>
  <c r="J13" i="11"/>
  <c r="K13" i="11"/>
  <c r="I14" i="11"/>
  <c r="J14" i="11"/>
  <c r="K14" i="11"/>
  <c r="J7" i="11"/>
  <c r="K7" i="11"/>
  <c r="H8" i="11"/>
  <c r="H9" i="11"/>
  <c r="H10" i="11"/>
  <c r="H11" i="11"/>
  <c r="H12" i="11"/>
  <c r="H13" i="11"/>
  <c r="H14" i="11"/>
  <c r="I45" i="10"/>
  <c r="J45" i="10"/>
  <c r="K45" i="10"/>
  <c r="I46" i="10"/>
  <c r="J46" i="10"/>
  <c r="K46" i="10"/>
  <c r="I47" i="10"/>
  <c r="J47" i="10"/>
  <c r="K47" i="10"/>
  <c r="I48" i="10"/>
  <c r="J48" i="10"/>
  <c r="K48" i="10"/>
  <c r="I49" i="10"/>
  <c r="J49" i="10"/>
  <c r="K49" i="10"/>
  <c r="I50" i="10"/>
  <c r="J50" i="10"/>
  <c r="K50" i="10"/>
  <c r="I51" i="10"/>
  <c r="J51" i="10"/>
  <c r="K51" i="10"/>
  <c r="I52" i="10"/>
  <c r="J52" i="10"/>
  <c r="K52" i="10"/>
  <c r="I53" i="10"/>
  <c r="J53" i="10"/>
  <c r="K53" i="10"/>
  <c r="I54" i="10"/>
  <c r="J54" i="10"/>
  <c r="K54" i="10"/>
  <c r="I55" i="10"/>
  <c r="J55" i="10"/>
  <c r="K55" i="10"/>
  <c r="I56" i="10"/>
  <c r="J56" i="10"/>
  <c r="K56" i="10"/>
  <c r="I57" i="10"/>
  <c r="J57" i="10"/>
  <c r="K57" i="10"/>
  <c r="I58" i="10"/>
  <c r="J58" i="10"/>
  <c r="K58" i="10"/>
  <c r="J44" i="10"/>
  <c r="K44" i="10"/>
  <c r="H45" i="10"/>
  <c r="H46" i="10"/>
  <c r="H47" i="10"/>
  <c r="H48" i="10"/>
  <c r="H49" i="10"/>
  <c r="H50" i="10"/>
  <c r="H51" i="10"/>
  <c r="H52" i="10"/>
  <c r="H53" i="10"/>
  <c r="H54" i="10"/>
  <c r="H55" i="10"/>
  <c r="H56" i="10"/>
  <c r="H57" i="10"/>
  <c r="H58" i="10"/>
  <c r="I8" i="10"/>
  <c r="J8" i="10"/>
  <c r="K8" i="10"/>
  <c r="I9" i="10"/>
  <c r="J9" i="10"/>
  <c r="K9" i="10"/>
  <c r="I10" i="10"/>
  <c r="J10" i="10"/>
  <c r="K10" i="10"/>
  <c r="I11" i="10"/>
  <c r="J11" i="10"/>
  <c r="K11" i="10"/>
  <c r="I12" i="10"/>
  <c r="J12" i="10"/>
  <c r="K12" i="10"/>
  <c r="I13" i="10"/>
  <c r="J13" i="10"/>
  <c r="K13" i="10"/>
  <c r="I14" i="10"/>
  <c r="J14" i="10"/>
  <c r="K14" i="10"/>
  <c r="J7" i="10"/>
  <c r="K7" i="10"/>
  <c r="H8" i="10"/>
  <c r="H9" i="10"/>
  <c r="H10" i="10"/>
  <c r="H11" i="10"/>
  <c r="H12" i="10"/>
  <c r="H13" i="10"/>
  <c r="H14" i="10"/>
  <c r="H45" i="9"/>
  <c r="I45" i="9" s="1"/>
  <c r="H46" i="9"/>
  <c r="J46" i="9" s="1"/>
  <c r="H47" i="9"/>
  <c r="K47" i="9" s="1"/>
  <c r="H48" i="9"/>
  <c r="I48" i="9" s="1"/>
  <c r="H49" i="9"/>
  <c r="I49" i="9" s="1"/>
  <c r="H50" i="9"/>
  <c r="J50" i="9" s="1"/>
  <c r="H51" i="9"/>
  <c r="K51" i="9" s="1"/>
  <c r="H52" i="9"/>
  <c r="K52" i="9" s="1"/>
  <c r="H53" i="9"/>
  <c r="I53" i="9" s="1"/>
  <c r="H54" i="9"/>
  <c r="J54" i="9" s="1"/>
  <c r="H55" i="9"/>
  <c r="K55" i="9" s="1"/>
  <c r="H56" i="9"/>
  <c r="I56" i="9" s="1"/>
  <c r="H57" i="9"/>
  <c r="I57" i="9" s="1"/>
  <c r="H58" i="9"/>
  <c r="J58" i="9" s="1"/>
  <c r="J47" i="9" l="1"/>
  <c r="I54" i="9"/>
  <c r="J51" i="9"/>
  <c r="I50" i="9"/>
  <c r="J55" i="9"/>
  <c r="I58" i="9"/>
  <c r="I46" i="9"/>
  <c r="K48" i="9"/>
  <c r="K57" i="9"/>
  <c r="J56" i="9"/>
  <c r="I55" i="9"/>
  <c r="K53" i="9"/>
  <c r="J52" i="9"/>
  <c r="I51" i="9"/>
  <c r="K49" i="9"/>
  <c r="J48" i="9"/>
  <c r="I47" i="9"/>
  <c r="K45" i="9"/>
  <c r="K56" i="9"/>
  <c r="K58" i="9"/>
  <c r="J57" i="9"/>
  <c r="K54" i="9"/>
  <c r="J53" i="9"/>
  <c r="I52" i="9"/>
  <c r="K50" i="9"/>
  <c r="J49" i="9"/>
  <c r="K46" i="9"/>
  <c r="J45" i="9"/>
  <c r="H7" i="10"/>
  <c r="H7" i="9"/>
  <c r="K7" i="9" l="1"/>
  <c r="J7" i="9"/>
  <c r="I7" i="9"/>
  <c r="I7" i="10"/>
  <c r="H7" i="11"/>
  <c r="H44" i="9"/>
  <c r="H8" i="9"/>
  <c r="H9" i="9"/>
  <c r="H10" i="9"/>
  <c r="H11" i="9"/>
  <c r="H12" i="9"/>
  <c r="H13" i="9"/>
  <c r="H14" i="9"/>
  <c r="H23" i="9"/>
  <c r="L23" i="9"/>
  <c r="J93" i="2"/>
  <c r="H93" i="2"/>
  <c r="I13" i="9" l="1"/>
  <c r="J13" i="9"/>
  <c r="K13" i="9"/>
  <c r="K8" i="9"/>
  <c r="J8" i="9"/>
  <c r="I8" i="9"/>
  <c r="J11" i="9"/>
  <c r="I11" i="9"/>
  <c r="K11" i="9"/>
  <c r="J44" i="9"/>
  <c r="K44" i="9"/>
  <c r="K9" i="9"/>
  <c r="I9" i="9"/>
  <c r="J9" i="9"/>
  <c r="K12" i="9"/>
  <c r="J12" i="9"/>
  <c r="I12" i="9"/>
  <c r="I14" i="9"/>
  <c r="J14" i="9"/>
  <c r="K14" i="9"/>
  <c r="I10" i="9"/>
  <c r="J10" i="9"/>
  <c r="K10" i="9"/>
  <c r="I7" i="11"/>
  <c r="H7" i="12"/>
  <c r="H44" i="10"/>
  <c r="I44" i="9"/>
  <c r="I7" i="12" l="1"/>
  <c r="H44" i="11"/>
  <c r="H44" i="12" s="1"/>
  <c r="I44" i="10"/>
  <c r="H71" i="2"/>
  <c r="I71" i="2"/>
  <c r="H73" i="2"/>
  <c r="I73" i="2"/>
  <c r="H75" i="2"/>
  <c r="I75" i="2"/>
  <c r="H77" i="2"/>
  <c r="I77" i="2"/>
  <c r="H79" i="2"/>
  <c r="I79" i="2"/>
  <c r="H81" i="2"/>
  <c r="I81" i="2"/>
  <c r="H83" i="2"/>
  <c r="I83" i="2"/>
  <c r="H85" i="2"/>
  <c r="I85" i="2"/>
  <c r="H87" i="2"/>
  <c r="I87" i="2"/>
  <c r="R70" i="2"/>
  <c r="J71" i="2"/>
  <c r="K71" i="2"/>
  <c r="L71" i="2"/>
  <c r="M71" i="2"/>
  <c r="N71" i="2"/>
  <c r="O71" i="2"/>
  <c r="P71" i="2"/>
  <c r="Q71" i="2"/>
  <c r="R72" i="2"/>
  <c r="J73" i="2"/>
  <c r="K73" i="2"/>
  <c r="L73" i="2"/>
  <c r="M73" i="2"/>
  <c r="N73" i="2"/>
  <c r="O73" i="2"/>
  <c r="P73" i="2"/>
  <c r="Q73" i="2"/>
  <c r="R74" i="2"/>
  <c r="J75" i="2"/>
  <c r="K75" i="2"/>
  <c r="L75" i="2"/>
  <c r="M75" i="2"/>
  <c r="N75" i="2"/>
  <c r="O75" i="2"/>
  <c r="P75" i="2"/>
  <c r="Q75" i="2"/>
  <c r="R76" i="2"/>
  <c r="S76" i="2"/>
  <c r="J77" i="2"/>
  <c r="K77" i="2"/>
  <c r="L77" i="2"/>
  <c r="M77" i="2"/>
  <c r="N77" i="2"/>
  <c r="O77" i="2"/>
  <c r="P77" i="2"/>
  <c r="Q77" i="2"/>
  <c r="R78" i="2"/>
  <c r="S78" i="2"/>
  <c r="J79" i="2"/>
  <c r="K79" i="2"/>
  <c r="L79" i="2"/>
  <c r="M79" i="2"/>
  <c r="N79" i="2"/>
  <c r="O79" i="2"/>
  <c r="P79" i="2"/>
  <c r="Q79" i="2"/>
  <c r="R80" i="2"/>
  <c r="S80" i="2"/>
  <c r="J81" i="2"/>
  <c r="K81" i="2"/>
  <c r="L81" i="2"/>
  <c r="M81" i="2"/>
  <c r="N81" i="2"/>
  <c r="O81" i="2"/>
  <c r="P81" i="2"/>
  <c r="Q81" i="2"/>
  <c r="R82" i="2"/>
  <c r="S82" i="2"/>
  <c r="J83" i="2"/>
  <c r="K83" i="2"/>
  <c r="L83" i="2"/>
  <c r="M83" i="2"/>
  <c r="N83" i="2"/>
  <c r="O83" i="2"/>
  <c r="P83" i="2"/>
  <c r="Q83" i="2"/>
  <c r="R84" i="2"/>
  <c r="S84" i="2"/>
  <c r="J85" i="2"/>
  <c r="K85" i="2"/>
  <c r="L85" i="2"/>
  <c r="M85" i="2"/>
  <c r="N85" i="2"/>
  <c r="O85" i="2"/>
  <c r="P85" i="2"/>
  <c r="Q85" i="2"/>
  <c r="R86" i="2"/>
  <c r="S86" i="2"/>
  <c r="J87" i="2"/>
  <c r="K87" i="2"/>
  <c r="L87" i="2"/>
  <c r="M87" i="2"/>
  <c r="N87" i="2"/>
  <c r="O87" i="2"/>
  <c r="P87" i="2"/>
  <c r="Q87" i="2"/>
  <c r="R88" i="2"/>
  <c r="S88" i="2"/>
  <c r="H89" i="2"/>
  <c r="I89" i="2"/>
  <c r="J89" i="2"/>
  <c r="K89" i="2"/>
  <c r="L89" i="2"/>
  <c r="M89" i="2"/>
  <c r="N89" i="2"/>
  <c r="O89" i="2"/>
  <c r="P89" i="2"/>
  <c r="Q89" i="2"/>
  <c r="H90" i="2"/>
  <c r="J90" i="2"/>
  <c r="L90" i="2"/>
  <c r="M90" i="2"/>
  <c r="N90" i="2"/>
  <c r="O90" i="2"/>
  <c r="P90" i="2"/>
  <c r="Q90" i="2"/>
  <c r="C138" i="13"/>
  <c r="L7" i="1"/>
  <c r="G199" i="13"/>
  <c r="F199" i="13"/>
  <c r="E199" i="13"/>
  <c r="D199" i="13"/>
  <c r="C199" i="13"/>
  <c r="G197" i="13"/>
  <c r="F197" i="13"/>
  <c r="E197" i="13"/>
  <c r="D197" i="13"/>
  <c r="C197" i="13"/>
  <c r="G195" i="13"/>
  <c r="F195" i="13"/>
  <c r="E195" i="13"/>
  <c r="D195" i="13"/>
  <c r="C195" i="13"/>
  <c r="G193" i="13"/>
  <c r="F193" i="13"/>
  <c r="E193" i="13"/>
  <c r="D193" i="13"/>
  <c r="C193" i="13"/>
  <c r="G191" i="13"/>
  <c r="F191" i="13"/>
  <c r="E191" i="13"/>
  <c r="D191" i="13"/>
  <c r="C191" i="13"/>
  <c r="G189" i="13"/>
  <c r="F189" i="13"/>
  <c r="E189" i="13"/>
  <c r="D189" i="13"/>
  <c r="C189" i="13"/>
  <c r="G187" i="13"/>
  <c r="F187" i="13"/>
  <c r="E187" i="13"/>
  <c r="D187" i="13"/>
  <c r="C187" i="13"/>
  <c r="G185" i="13"/>
  <c r="F185" i="13"/>
  <c r="E185" i="13"/>
  <c r="D185" i="13"/>
  <c r="C185" i="13"/>
  <c r="G183" i="13"/>
  <c r="F183" i="13"/>
  <c r="E183" i="13"/>
  <c r="D183" i="13"/>
  <c r="C183" i="13"/>
  <c r="G181" i="13"/>
  <c r="F181" i="13"/>
  <c r="E181" i="13"/>
  <c r="D181" i="13"/>
  <c r="C181" i="13"/>
  <c r="R90" i="2" l="1"/>
  <c r="I44" i="11"/>
  <c r="R77" i="2"/>
  <c r="R71" i="2"/>
  <c r="R85" i="2"/>
  <c r="R75" i="2"/>
  <c r="R73" i="2"/>
  <c r="R89" i="2"/>
  <c r="R87" i="2"/>
  <c r="R83" i="2"/>
  <c r="R81" i="2"/>
  <c r="R79" i="2"/>
  <c r="N91" i="2"/>
  <c r="J91" i="2"/>
  <c r="P91" i="2"/>
  <c r="L91" i="2"/>
  <c r="H91" i="2"/>
  <c r="H183" i="13"/>
  <c r="H185" i="13"/>
  <c r="H181" i="13"/>
  <c r="I44" i="12" l="1"/>
  <c r="R91" i="2"/>
  <c r="B22" i="24" l="1"/>
  <c r="AB13" i="23"/>
  <c r="AB14" i="23"/>
  <c r="AB15" i="23"/>
  <c r="AB16" i="23"/>
  <c r="AB17" i="23"/>
  <c r="AB18" i="23"/>
  <c r="AB19" i="23"/>
  <c r="AB20" i="23"/>
  <c r="AB21" i="23"/>
  <c r="AB22" i="23"/>
  <c r="AB23" i="23"/>
  <c r="AB24" i="23"/>
  <c r="AB25" i="23"/>
  <c r="AB26" i="23"/>
  <c r="AB12" i="23"/>
  <c r="AB5" i="23"/>
  <c r="AB6" i="23"/>
  <c r="AB7" i="23"/>
  <c r="AB8" i="23"/>
  <c r="AB9" i="23"/>
  <c r="AB10" i="23"/>
  <c r="AB11" i="23"/>
  <c r="AB4" i="23"/>
  <c r="N5" i="9"/>
  <c r="N5" i="10" s="1"/>
  <c r="N5" i="11" s="1"/>
  <c r="N5" i="12" s="1"/>
  <c r="Z45" i="1"/>
  <c r="Z46" i="1"/>
  <c r="Z47" i="1"/>
  <c r="Z48" i="1"/>
  <c r="Z49" i="1"/>
  <c r="Z50" i="1"/>
  <c r="Z51" i="1"/>
  <c r="Z52" i="1"/>
  <c r="Z53" i="1"/>
  <c r="Z54" i="1"/>
  <c r="Z55" i="1"/>
  <c r="Z56" i="1"/>
  <c r="Z57" i="1"/>
  <c r="Z58" i="1"/>
  <c r="Z44" i="1"/>
  <c r="Y8" i="1"/>
  <c r="Z8" i="1"/>
  <c r="Y9" i="1"/>
  <c r="Z9" i="1"/>
  <c r="Y10" i="1"/>
  <c r="Z10" i="1"/>
  <c r="Y11" i="1"/>
  <c r="Z11" i="1"/>
  <c r="Y12" i="1"/>
  <c r="Z12" i="1"/>
  <c r="Y13" i="1"/>
  <c r="Z13" i="1"/>
  <c r="Y14" i="1"/>
  <c r="Z14" i="1"/>
  <c r="Z7" i="1"/>
  <c r="Y7" i="1"/>
  <c r="Y58" i="1" l="1"/>
  <c r="Y45" i="1"/>
  <c r="Y46" i="1"/>
  <c r="Y47" i="1"/>
  <c r="Y48" i="1"/>
  <c r="Y49" i="1"/>
  <c r="Y50" i="1"/>
  <c r="Y51" i="1"/>
  <c r="Y52" i="1"/>
  <c r="Y53" i="1"/>
  <c r="Y54" i="1"/>
  <c r="Y55" i="1"/>
  <c r="Y56" i="1"/>
  <c r="Y57" i="1"/>
  <c r="Y44" i="1"/>
  <c r="L45" i="1"/>
  <c r="L46" i="1"/>
  <c r="L47" i="1"/>
  <c r="L48" i="1"/>
  <c r="L49" i="1"/>
  <c r="L50" i="1"/>
  <c r="L51" i="1"/>
  <c r="L52" i="1"/>
  <c r="L53" i="1"/>
  <c r="L54" i="1"/>
  <c r="L55" i="1"/>
  <c r="L56" i="1"/>
  <c r="L57" i="1"/>
  <c r="L58" i="1"/>
  <c r="L44" i="1"/>
  <c r="L8" i="1"/>
  <c r="L9" i="1"/>
  <c r="L10" i="1"/>
  <c r="L11" i="1"/>
  <c r="L12" i="1"/>
  <c r="L13" i="1"/>
  <c r="L14" i="1"/>
  <c r="B29" i="1" l="1"/>
  <c r="H12" i="23" l="1"/>
  <c r="G12" i="23"/>
  <c r="F12" i="23"/>
  <c r="E12" i="23"/>
  <c r="D12" i="23"/>
  <c r="D11" i="23"/>
  <c r="I2" i="23"/>
  <c r="F2" i="23"/>
  <c r="C2" i="23"/>
  <c r="B44" i="9" l="1"/>
  <c r="C44" i="9"/>
  <c r="D44" i="9"/>
  <c r="E44" i="9"/>
  <c r="F44" i="9"/>
  <c r="G44" i="9"/>
  <c r="B45" i="9"/>
  <c r="C45" i="9"/>
  <c r="D45" i="9"/>
  <c r="E45" i="9"/>
  <c r="F45" i="9"/>
  <c r="G45" i="9"/>
  <c r="B46" i="9"/>
  <c r="C46" i="9"/>
  <c r="D46" i="9"/>
  <c r="E46" i="9"/>
  <c r="F46" i="9"/>
  <c r="G46" i="9"/>
  <c r="B47" i="9"/>
  <c r="C47" i="9"/>
  <c r="D47" i="9"/>
  <c r="E47" i="9"/>
  <c r="F47" i="9"/>
  <c r="G47" i="9"/>
  <c r="B48" i="9"/>
  <c r="C48" i="9"/>
  <c r="D48" i="9"/>
  <c r="E48" i="9"/>
  <c r="F48" i="9"/>
  <c r="G48" i="9"/>
  <c r="B49" i="9"/>
  <c r="C49" i="9"/>
  <c r="D49" i="9"/>
  <c r="E49" i="9"/>
  <c r="F49" i="9"/>
  <c r="G49" i="9"/>
  <c r="B50" i="9"/>
  <c r="C50" i="9"/>
  <c r="D50" i="9"/>
  <c r="E50" i="9"/>
  <c r="F50" i="9"/>
  <c r="G50" i="9"/>
  <c r="B51" i="9"/>
  <c r="C51" i="9"/>
  <c r="D51" i="9"/>
  <c r="E51" i="9"/>
  <c r="F51" i="9"/>
  <c r="G51" i="9"/>
  <c r="B52" i="9"/>
  <c r="C52" i="9"/>
  <c r="D52" i="9"/>
  <c r="E52" i="9"/>
  <c r="F52" i="9"/>
  <c r="G52" i="9"/>
  <c r="B53" i="9"/>
  <c r="C53" i="9"/>
  <c r="D53" i="9"/>
  <c r="E53" i="9"/>
  <c r="F53" i="9"/>
  <c r="G53" i="9"/>
  <c r="B54" i="9"/>
  <c r="C54" i="9"/>
  <c r="D54" i="9"/>
  <c r="E54" i="9"/>
  <c r="F54" i="9"/>
  <c r="G54" i="9"/>
  <c r="B55" i="9"/>
  <c r="C55" i="9"/>
  <c r="D55" i="9"/>
  <c r="E55" i="9"/>
  <c r="F55" i="9"/>
  <c r="G55" i="9"/>
  <c r="B56" i="9"/>
  <c r="C56" i="9"/>
  <c r="D56" i="9"/>
  <c r="E56" i="9"/>
  <c r="F56" i="9"/>
  <c r="G56" i="9"/>
  <c r="B57" i="9"/>
  <c r="C57" i="9"/>
  <c r="D57" i="9"/>
  <c r="E57" i="9"/>
  <c r="F57" i="9"/>
  <c r="G57" i="9"/>
  <c r="B58" i="9"/>
  <c r="C58" i="9"/>
  <c r="D58" i="9"/>
  <c r="E58" i="9"/>
  <c r="F58" i="9"/>
  <c r="G58" i="9"/>
  <c r="C2" i="22"/>
  <c r="I2" i="22"/>
  <c r="F2" i="22"/>
  <c r="E12" i="22"/>
  <c r="G12" i="22"/>
  <c r="H12" i="22"/>
  <c r="F12" i="22"/>
  <c r="D12" i="22"/>
  <c r="D11" i="22"/>
  <c r="Q7" i="1"/>
  <c r="R7" i="1"/>
  <c r="S7" i="1"/>
  <c r="Y52" i="9" l="1"/>
  <c r="B59" i="9"/>
  <c r="L49" i="9"/>
  <c r="L52" i="9"/>
  <c r="L56" i="9"/>
  <c r="L48" i="9"/>
  <c r="L44" i="9"/>
  <c r="Y56" i="9" l="1"/>
  <c r="AC17" i="23"/>
  <c r="AC15" i="23"/>
  <c r="L58" i="9"/>
  <c r="AC22" i="23"/>
  <c r="AC24" i="23"/>
  <c r="AC21" i="23"/>
  <c r="AC19" i="23"/>
  <c r="AC16" i="23"/>
  <c r="AC23" i="23"/>
  <c r="AC18" i="23"/>
  <c r="AC12" i="23"/>
  <c r="AC13" i="23"/>
  <c r="AC20" i="23"/>
  <c r="AC26" i="23"/>
  <c r="Y48" i="9"/>
  <c r="Y51" i="9"/>
  <c r="Y53" i="9"/>
  <c r="Y58" i="9"/>
  <c r="Y55" i="9"/>
  <c r="Y44" i="9"/>
  <c r="Y54" i="9"/>
  <c r="Y45" i="9"/>
  <c r="Y50" i="9"/>
  <c r="Y49" i="9"/>
  <c r="Y47" i="9"/>
  <c r="L53" i="9"/>
  <c r="L47" i="9"/>
  <c r="L55" i="9"/>
  <c r="L50" i="9"/>
  <c r="L57" i="9"/>
  <c r="L54" i="9"/>
  <c r="L51" i="9"/>
  <c r="L45" i="9"/>
  <c r="AC25" i="23" l="1"/>
  <c r="L46" i="9"/>
  <c r="AC14" i="23"/>
  <c r="Y46" i="9"/>
  <c r="Y57" i="9"/>
  <c r="H8" i="23"/>
  <c r="H19" i="23"/>
  <c r="G19" i="23"/>
  <c r="E19" i="23"/>
  <c r="F8" i="22" l="1"/>
  <c r="F8" i="23"/>
  <c r="F182" i="13"/>
  <c r="C182" i="13"/>
  <c r="G182" i="13"/>
  <c r="D182" i="13"/>
  <c r="F19" i="22"/>
  <c r="F19" i="23"/>
  <c r="E182" i="13"/>
  <c r="G8" i="22"/>
  <c r="G8" i="23"/>
  <c r="F184" i="13"/>
  <c r="D188" i="13"/>
  <c r="F186" i="13"/>
  <c r="D190" i="13"/>
  <c r="D192" i="13"/>
  <c r="F194" i="13"/>
  <c r="D196" i="13"/>
  <c r="D198" i="13"/>
  <c r="D200" i="13"/>
  <c r="F200" i="13"/>
  <c r="G186" i="13"/>
  <c r="E188" i="13"/>
  <c r="G188" i="13"/>
  <c r="E190" i="13"/>
  <c r="C192" i="13"/>
  <c r="G192" i="13"/>
  <c r="E194" i="13"/>
  <c r="G194" i="13"/>
  <c r="E196" i="13"/>
  <c r="G196" i="13"/>
  <c r="C198" i="13"/>
  <c r="E198" i="13"/>
  <c r="G198" i="13"/>
  <c r="C200" i="13"/>
  <c r="E200" i="13"/>
  <c r="G200" i="13"/>
  <c r="D184" i="13"/>
  <c r="D186" i="13"/>
  <c r="F188" i="13"/>
  <c r="F190" i="13"/>
  <c r="F192" i="13"/>
  <c r="D194" i="13"/>
  <c r="F196" i="13"/>
  <c r="F198" i="13"/>
  <c r="C184" i="13"/>
  <c r="E184" i="13"/>
  <c r="G184" i="13"/>
  <c r="C186" i="13"/>
  <c r="E186" i="13"/>
  <c r="C188" i="13"/>
  <c r="C190" i="13"/>
  <c r="G190" i="13"/>
  <c r="E192" i="13"/>
  <c r="C194" i="13"/>
  <c r="C196" i="13"/>
  <c r="D8" i="22"/>
  <c r="D8" i="23"/>
  <c r="D19" i="22"/>
  <c r="D19" i="23"/>
  <c r="E8" i="22"/>
  <c r="E8" i="23"/>
  <c r="J38" i="2"/>
  <c r="N38" i="2"/>
  <c r="H19" i="22"/>
  <c r="L38" i="2"/>
  <c r="H8" i="22"/>
  <c r="E19" i="22"/>
  <c r="G19" i="22"/>
  <c r="H38" i="2"/>
  <c r="P38" i="2"/>
  <c r="I8" i="23" l="1"/>
  <c r="I8" i="22"/>
  <c r="I19" i="23"/>
  <c r="H182" i="13"/>
  <c r="H184" i="13"/>
  <c r="I19" i="22"/>
  <c r="A72" i="17"/>
  <c r="B72" i="17"/>
  <c r="A73" i="17"/>
  <c r="B73" i="17"/>
  <c r="A71" i="17"/>
  <c r="B71" i="17"/>
  <c r="B70" i="17"/>
  <c r="A70" i="17"/>
  <c r="B37" i="17" l="1"/>
  <c r="B38" i="17"/>
  <c r="A38" i="17"/>
  <c r="A37" i="17"/>
  <c r="C154" i="13"/>
  <c r="B33" i="24" s="1"/>
  <c r="D154" i="13"/>
  <c r="C33" i="24" s="1"/>
  <c r="E154" i="13"/>
  <c r="D33" i="24" s="1"/>
  <c r="F154" i="13"/>
  <c r="E33" i="24" s="1"/>
  <c r="G154" i="13"/>
  <c r="F33" i="24" s="1"/>
  <c r="C155" i="13"/>
  <c r="B34" i="24" s="1"/>
  <c r="D155" i="13"/>
  <c r="C34" i="24" s="1"/>
  <c r="E155" i="13"/>
  <c r="D34" i="24" s="1"/>
  <c r="F155" i="13"/>
  <c r="E34" i="24" s="1"/>
  <c r="G155" i="13"/>
  <c r="F34" i="24" s="1"/>
  <c r="M27" i="1"/>
  <c r="L27" i="9"/>
  <c r="M27" i="9" s="1"/>
  <c r="A120" i="13"/>
  <c r="M26" i="1"/>
  <c r="A121" i="13"/>
  <c r="M28" i="1"/>
  <c r="N28" i="1" s="1"/>
  <c r="C110" i="13"/>
  <c r="B14" i="24" s="1"/>
  <c r="C109" i="13"/>
  <c r="B13" i="24" s="1"/>
  <c r="H155" i="13" l="1"/>
  <c r="G34" i="24" s="1"/>
  <c r="H154" i="13"/>
  <c r="G33" i="24" s="1"/>
  <c r="N27" i="9"/>
  <c r="N27" i="1"/>
  <c r="L27" i="10"/>
  <c r="C121" i="13"/>
  <c r="R43" i="2"/>
  <c r="R42" i="2"/>
  <c r="L27" i="11" l="1"/>
  <c r="M27" i="10"/>
  <c r="N27" i="10" s="1"/>
  <c r="E109" i="13"/>
  <c r="D13" i="24" s="1"/>
  <c r="D109" i="13"/>
  <c r="C13" i="24" s="1"/>
  <c r="L28" i="9"/>
  <c r="F109" i="13" l="1"/>
  <c r="E13" i="24" s="1"/>
  <c r="L28" i="10"/>
  <c r="M27" i="11"/>
  <c r="N27" i="11" s="1"/>
  <c r="L27" i="12"/>
  <c r="D110" i="13"/>
  <c r="C14" i="24" s="1"/>
  <c r="M28" i="9"/>
  <c r="N28" i="9"/>
  <c r="B35" i="17"/>
  <c r="B36" i="17"/>
  <c r="B32" i="17"/>
  <c r="B33" i="17"/>
  <c r="B34" i="17"/>
  <c r="B31" i="17"/>
  <c r="B24" i="17"/>
  <c r="M28" i="10" l="1"/>
  <c r="L28" i="11"/>
  <c r="E110" i="13"/>
  <c r="D14" i="24" s="1"/>
  <c r="D121" i="13"/>
  <c r="M27" i="12"/>
  <c r="N27" i="12" s="1"/>
  <c r="G109" i="13"/>
  <c r="G157" i="13"/>
  <c r="F36" i="24" s="1"/>
  <c r="F157" i="13"/>
  <c r="E36" i="24" s="1"/>
  <c r="E157" i="13"/>
  <c r="D36" i="24" s="1"/>
  <c r="C157" i="13"/>
  <c r="B36" i="24" s="1"/>
  <c r="G156" i="13"/>
  <c r="F35" i="24" s="1"/>
  <c r="F156" i="13"/>
  <c r="E35" i="24" s="1"/>
  <c r="E156" i="13"/>
  <c r="D35" i="24" s="1"/>
  <c r="D156" i="13"/>
  <c r="C35" i="24" s="1"/>
  <c r="C156" i="13"/>
  <c r="R44" i="2"/>
  <c r="B35" i="24" l="1"/>
  <c r="N28" i="10"/>
  <c r="H109" i="13"/>
  <c r="G13" i="24" s="1"/>
  <c r="F13" i="24"/>
  <c r="E121" i="13"/>
  <c r="F110" i="13"/>
  <c r="E14" i="24" s="1"/>
  <c r="M28" i="11"/>
  <c r="F121" i="13" s="1"/>
  <c r="L28" i="12"/>
  <c r="H156" i="13"/>
  <c r="G35" i="24" s="1"/>
  <c r="B61" i="2"/>
  <c r="B60" i="2"/>
  <c r="B59" i="2"/>
  <c r="B58" i="2"/>
  <c r="N28" i="11" l="1"/>
  <c r="F11" i="23"/>
  <c r="F11" i="22"/>
  <c r="G11" i="23"/>
  <c r="G11" i="22"/>
  <c r="H11" i="23"/>
  <c r="H11" i="22"/>
  <c r="E11" i="23"/>
  <c r="E11" i="22"/>
  <c r="M28" i="12"/>
  <c r="G121" i="13" s="1"/>
  <c r="H121" i="13" s="1"/>
  <c r="G110" i="13"/>
  <c r="H25" i="18"/>
  <c r="H6" i="18"/>
  <c r="H7" i="18"/>
  <c r="H8" i="18"/>
  <c r="B42" i="18"/>
  <c r="B43" i="18"/>
  <c r="B44" i="18"/>
  <c r="B41" i="18"/>
  <c r="E12" i="18"/>
  <c r="G12" i="18"/>
  <c r="F12" i="18"/>
  <c r="D12" i="18"/>
  <c r="B29" i="18"/>
  <c r="B30" i="18"/>
  <c r="B31" i="18"/>
  <c r="B28" i="18"/>
  <c r="E23" i="18"/>
  <c r="F23" i="18"/>
  <c r="G23" i="18"/>
  <c r="E9" i="18"/>
  <c r="D9" i="18"/>
  <c r="H29" i="18"/>
  <c r="H30" i="18"/>
  <c r="H31" i="18"/>
  <c r="H28" i="18"/>
  <c r="F32" i="18"/>
  <c r="G32" i="18"/>
  <c r="E32" i="18"/>
  <c r="F45" i="18"/>
  <c r="G45" i="18"/>
  <c r="H45" i="18"/>
  <c r="E45" i="18"/>
  <c r="H32" i="18" l="1"/>
  <c r="N28" i="12"/>
  <c r="H110" i="13"/>
  <c r="G14" i="24" s="1"/>
  <c r="F14" i="24"/>
  <c r="A36" i="17" l="1"/>
  <c r="A35" i="17"/>
  <c r="A34" i="17"/>
  <c r="A33" i="17"/>
  <c r="A32" i="17"/>
  <c r="A31" i="17"/>
  <c r="A15" i="17"/>
  <c r="A16" i="17"/>
  <c r="A17" i="17"/>
  <c r="A18" i="17"/>
  <c r="A19" i="17"/>
  <c r="A20" i="17"/>
  <c r="A21" i="17"/>
  <c r="A22" i="17"/>
  <c r="A23" i="17"/>
  <c r="A24" i="17"/>
  <c r="A25" i="17"/>
  <c r="A26" i="17"/>
  <c r="A27" i="17"/>
  <c r="A28" i="17"/>
  <c r="A14" i="17"/>
  <c r="A5" i="17"/>
  <c r="A6" i="17"/>
  <c r="A7" i="17"/>
  <c r="A8" i="17"/>
  <c r="A9" i="17"/>
  <c r="A10" i="17"/>
  <c r="A11" i="17"/>
  <c r="A4" i="17"/>
  <c r="B79" i="17"/>
  <c r="B80" i="17"/>
  <c r="B81" i="17"/>
  <c r="B82" i="17"/>
  <c r="B78" i="17"/>
  <c r="A79" i="17"/>
  <c r="A80" i="17"/>
  <c r="A81" i="17"/>
  <c r="A82" i="17"/>
  <c r="A78" i="17"/>
  <c r="A77" i="17"/>
  <c r="B63" i="17"/>
  <c r="B64" i="17"/>
  <c r="B65" i="17"/>
  <c r="B66" i="17"/>
  <c r="B67" i="17"/>
  <c r="B68" i="17"/>
  <c r="B69" i="17"/>
  <c r="B74" i="17"/>
  <c r="B75" i="17"/>
  <c r="B62" i="17"/>
  <c r="A63" i="17"/>
  <c r="A64" i="17"/>
  <c r="A65" i="17"/>
  <c r="A66" i="17"/>
  <c r="A67" i="17"/>
  <c r="A68" i="17"/>
  <c r="A69" i="17"/>
  <c r="A74" i="17"/>
  <c r="A75" i="17"/>
  <c r="A62" i="17"/>
  <c r="A61" i="17"/>
  <c r="B59" i="17"/>
  <c r="B58" i="17"/>
  <c r="B57" i="17"/>
  <c r="B56" i="17"/>
  <c r="A57" i="17"/>
  <c r="A58" i="17"/>
  <c r="A59" i="17"/>
  <c r="A56" i="17"/>
  <c r="A53" i="17"/>
  <c r="A52" i="17"/>
  <c r="A42" i="17"/>
  <c r="A43" i="17"/>
  <c r="A44" i="17"/>
  <c r="A45" i="17"/>
  <c r="A46" i="17"/>
  <c r="A47" i="17"/>
  <c r="A48" i="17"/>
  <c r="A41" i="17"/>
  <c r="A55" i="17"/>
  <c r="B53" i="17"/>
  <c r="B52" i="17"/>
  <c r="A51" i="17"/>
  <c r="B42" i="17"/>
  <c r="B43" i="17"/>
  <c r="B44" i="17"/>
  <c r="B45" i="17"/>
  <c r="B46" i="17"/>
  <c r="B47" i="17"/>
  <c r="B48" i="17"/>
  <c r="B41" i="17"/>
  <c r="A40" i="17"/>
  <c r="A30" i="17"/>
  <c r="B15" i="17"/>
  <c r="B16" i="17"/>
  <c r="B17" i="17"/>
  <c r="B18" i="17"/>
  <c r="B19" i="17"/>
  <c r="B20" i="17"/>
  <c r="B21" i="17"/>
  <c r="B22" i="17"/>
  <c r="B23" i="17"/>
  <c r="B25" i="17"/>
  <c r="B26" i="17"/>
  <c r="B27" i="17"/>
  <c r="B28" i="17"/>
  <c r="B14" i="17"/>
  <c r="A13" i="17"/>
  <c r="B5" i="17"/>
  <c r="B6" i="17"/>
  <c r="B7" i="17"/>
  <c r="B8" i="17"/>
  <c r="B9" i="17"/>
  <c r="B10" i="17"/>
  <c r="B11" i="17"/>
  <c r="B4" i="17"/>
  <c r="A3" i="17"/>
  <c r="A199" i="13"/>
  <c r="A197" i="13"/>
  <c r="A195" i="13"/>
  <c r="A193" i="13"/>
  <c r="A191" i="13"/>
  <c r="A189" i="13"/>
  <c r="A187" i="13"/>
  <c r="A185" i="13"/>
  <c r="A183" i="13"/>
  <c r="A181" i="13"/>
  <c r="A371" i="13"/>
  <c r="A364" i="13"/>
  <c r="A357" i="13"/>
  <c r="A350" i="13"/>
  <c r="C340" i="13"/>
  <c r="C341" i="13" s="1"/>
  <c r="A343" i="13"/>
  <c r="A336" i="13"/>
  <c r="A329" i="13"/>
  <c r="A321" i="13"/>
  <c r="A314" i="13"/>
  <c r="A307" i="13"/>
  <c r="A300" i="13"/>
  <c r="A293" i="13"/>
  <c r="A286" i="13"/>
  <c r="A279" i="13"/>
  <c r="A272" i="13"/>
  <c r="A94" i="13"/>
  <c r="A87" i="13"/>
  <c r="A80" i="13"/>
  <c r="A73" i="13"/>
  <c r="A66" i="13"/>
  <c r="A59" i="13"/>
  <c r="A52" i="13"/>
  <c r="A45" i="13"/>
  <c r="A93" i="13"/>
  <c r="A328" i="13"/>
  <c r="A205" i="13"/>
  <c r="A209" i="13"/>
  <c r="A213" i="13"/>
  <c r="A217" i="13"/>
  <c r="A221" i="13"/>
  <c r="A225" i="13"/>
  <c r="A229" i="13"/>
  <c r="A233" i="13"/>
  <c r="A237" i="13"/>
  <c r="A241" i="13"/>
  <c r="A245" i="13"/>
  <c r="A249" i="13"/>
  <c r="A253" i="13"/>
  <c r="A257" i="13"/>
  <c r="A261" i="13"/>
  <c r="A342" i="13"/>
  <c r="C375" i="13"/>
  <c r="C376" i="13" s="1"/>
  <c r="C373" i="13"/>
  <c r="C374" i="13" s="1"/>
  <c r="C371" i="13"/>
  <c r="C372" i="13" s="1"/>
  <c r="C368" i="13"/>
  <c r="C369" i="13" s="1"/>
  <c r="C366" i="13"/>
  <c r="C367" i="13" s="1"/>
  <c r="C364" i="13"/>
  <c r="C365" i="13" s="1"/>
  <c r="C361" i="13"/>
  <c r="C362" i="13" s="1"/>
  <c r="C359" i="13"/>
  <c r="C360" i="13" s="1"/>
  <c r="C357" i="13"/>
  <c r="C358" i="13" s="1"/>
  <c r="C354" i="13"/>
  <c r="C355" i="13" s="1"/>
  <c r="C352" i="13"/>
  <c r="C353" i="13" s="1"/>
  <c r="C350" i="13"/>
  <c r="C351" i="13" s="1"/>
  <c r="C347" i="13"/>
  <c r="C348" i="13" s="1"/>
  <c r="C345" i="13"/>
  <c r="C346" i="13" s="1"/>
  <c r="C343" i="13"/>
  <c r="C344" i="13" s="1"/>
  <c r="C338" i="13"/>
  <c r="C339" i="13" s="1"/>
  <c r="C336" i="13"/>
  <c r="C337" i="13" s="1"/>
  <c r="C333" i="13"/>
  <c r="C334" i="13" s="1"/>
  <c r="C331" i="13"/>
  <c r="C332" i="13" s="1"/>
  <c r="C329" i="13"/>
  <c r="C330" i="13" s="1"/>
  <c r="A370" i="13"/>
  <c r="A363" i="13"/>
  <c r="A356" i="13"/>
  <c r="A349" i="13"/>
  <c r="A335" i="13"/>
  <c r="A320" i="13"/>
  <c r="A313" i="13"/>
  <c r="A306" i="13"/>
  <c r="A299" i="13"/>
  <c r="A292" i="13"/>
  <c r="A285" i="13"/>
  <c r="A278" i="13"/>
  <c r="A271" i="13"/>
  <c r="C325" i="13"/>
  <c r="C323" i="13"/>
  <c r="C324" i="13" s="1"/>
  <c r="C318" i="13"/>
  <c r="C319" i="13" s="1"/>
  <c r="C316" i="13"/>
  <c r="C317" i="13" s="1"/>
  <c r="C311" i="13"/>
  <c r="C312" i="13" s="1"/>
  <c r="C309" i="13"/>
  <c r="C310" i="13" s="1"/>
  <c r="C304" i="13"/>
  <c r="C305" i="13" s="1"/>
  <c r="C302" i="13"/>
  <c r="C303" i="13" s="1"/>
  <c r="C297" i="13"/>
  <c r="C298" i="13" s="1"/>
  <c r="C295" i="13"/>
  <c r="C296" i="13" s="1"/>
  <c r="C290" i="13"/>
  <c r="C291" i="13" s="1"/>
  <c r="C288" i="13"/>
  <c r="C289" i="13" s="1"/>
  <c r="C283" i="13"/>
  <c r="C284" i="13" s="1"/>
  <c r="C281" i="13"/>
  <c r="C282" i="13" s="1"/>
  <c r="C276" i="13"/>
  <c r="C277" i="13" s="1"/>
  <c r="C274" i="13"/>
  <c r="C275" i="13" s="1"/>
  <c r="C321" i="13"/>
  <c r="C322" i="13" s="1"/>
  <c r="C314" i="13"/>
  <c r="C315" i="13" s="1"/>
  <c r="C307" i="13"/>
  <c r="C308" i="13" s="1"/>
  <c r="C300" i="13"/>
  <c r="C301" i="13" s="1"/>
  <c r="C293" i="13"/>
  <c r="C294" i="13" s="1"/>
  <c r="C286" i="13"/>
  <c r="C287" i="13" s="1"/>
  <c r="C279" i="13"/>
  <c r="C280" i="13" s="1"/>
  <c r="C272" i="13"/>
  <c r="C273" i="13" s="1"/>
  <c r="C326" i="13"/>
  <c r="B59" i="1"/>
  <c r="B15" i="1"/>
  <c r="B16" i="1" s="1"/>
  <c r="G58" i="10"/>
  <c r="G58" i="11" s="1"/>
  <c r="G58" i="12" s="1"/>
  <c r="F58" i="10"/>
  <c r="F58" i="11" s="1"/>
  <c r="F58" i="12" s="1"/>
  <c r="C58" i="10"/>
  <c r="C58" i="11" s="1"/>
  <c r="C58" i="12" s="1"/>
  <c r="D57" i="10"/>
  <c r="D57" i="11" s="1"/>
  <c r="D57" i="12" s="1"/>
  <c r="G56" i="10"/>
  <c r="G56" i="11" s="1"/>
  <c r="G56" i="12" s="1"/>
  <c r="F56" i="10"/>
  <c r="F56" i="11" s="1"/>
  <c r="F56" i="12" s="1"/>
  <c r="B56" i="10"/>
  <c r="B56" i="11" s="1"/>
  <c r="B56" i="12" s="1"/>
  <c r="E55" i="10"/>
  <c r="E55" i="11" s="1"/>
  <c r="E55" i="12" s="1"/>
  <c r="G54" i="10"/>
  <c r="G54" i="11" s="1"/>
  <c r="G54" i="12" s="1"/>
  <c r="F54" i="10"/>
  <c r="F54" i="11" s="1"/>
  <c r="F54" i="12" s="1"/>
  <c r="C54" i="10"/>
  <c r="C54" i="11" s="1"/>
  <c r="C54" i="12" s="1"/>
  <c r="D53" i="10"/>
  <c r="D53" i="11" s="1"/>
  <c r="D53" i="12" s="1"/>
  <c r="G52" i="10"/>
  <c r="G52" i="11" s="1"/>
  <c r="G52" i="12" s="1"/>
  <c r="F52" i="10"/>
  <c r="F52" i="11" s="1"/>
  <c r="F52" i="12" s="1"/>
  <c r="B52" i="10"/>
  <c r="B52" i="11" s="1"/>
  <c r="B52" i="12" s="1"/>
  <c r="E51" i="10"/>
  <c r="E51" i="11" s="1"/>
  <c r="E51" i="12" s="1"/>
  <c r="G50" i="10"/>
  <c r="G50" i="11" s="1"/>
  <c r="G50" i="12" s="1"/>
  <c r="F50" i="10"/>
  <c r="F50" i="11" s="1"/>
  <c r="F50" i="12" s="1"/>
  <c r="C50" i="10"/>
  <c r="C50" i="11" s="1"/>
  <c r="C50" i="12" s="1"/>
  <c r="D49" i="10"/>
  <c r="D49" i="11" s="1"/>
  <c r="D49" i="12" s="1"/>
  <c r="G48" i="10"/>
  <c r="G48" i="11" s="1"/>
  <c r="G48" i="12" s="1"/>
  <c r="F48" i="10"/>
  <c r="F48" i="11" s="1"/>
  <c r="F48" i="12" s="1"/>
  <c r="B48" i="10"/>
  <c r="B48" i="11" s="1"/>
  <c r="B48" i="12" s="1"/>
  <c r="E47" i="10"/>
  <c r="E47" i="11" s="1"/>
  <c r="E47" i="12" s="1"/>
  <c r="G46" i="10"/>
  <c r="G46" i="11" s="1"/>
  <c r="G46" i="12" s="1"/>
  <c r="F46" i="10"/>
  <c r="F46" i="11" s="1"/>
  <c r="F46" i="12" s="1"/>
  <c r="C46" i="10"/>
  <c r="C46" i="11" s="1"/>
  <c r="C46" i="12" s="1"/>
  <c r="D45" i="10"/>
  <c r="D45" i="11" s="1"/>
  <c r="D45" i="12" s="1"/>
  <c r="G44" i="10"/>
  <c r="G44" i="11" s="1"/>
  <c r="G44" i="12" s="1"/>
  <c r="F44" i="10"/>
  <c r="F44" i="11" s="1"/>
  <c r="F44" i="12" s="1"/>
  <c r="B44" i="10"/>
  <c r="B44" i="11" s="1"/>
  <c r="B44" i="12" s="1"/>
  <c r="E58" i="10"/>
  <c r="E58" i="11" s="1"/>
  <c r="E58" i="12" s="1"/>
  <c r="D58" i="10"/>
  <c r="D58" i="11" s="1"/>
  <c r="D58" i="12" s="1"/>
  <c r="G57" i="10"/>
  <c r="G57" i="11" s="1"/>
  <c r="G57" i="12" s="1"/>
  <c r="F57" i="10"/>
  <c r="F57" i="11" s="1"/>
  <c r="F57" i="12" s="1"/>
  <c r="E57" i="10"/>
  <c r="E57" i="11" s="1"/>
  <c r="E57" i="12" s="1"/>
  <c r="E56" i="10"/>
  <c r="E56" i="11" s="1"/>
  <c r="E56" i="12" s="1"/>
  <c r="D56" i="10"/>
  <c r="D56" i="11" s="1"/>
  <c r="D56" i="12" s="1"/>
  <c r="G55" i="10"/>
  <c r="G55" i="11" s="1"/>
  <c r="G55" i="12" s="1"/>
  <c r="F55" i="10"/>
  <c r="F55" i="11" s="1"/>
  <c r="F55" i="12" s="1"/>
  <c r="D55" i="10"/>
  <c r="D55" i="11" s="1"/>
  <c r="D55" i="12" s="1"/>
  <c r="E54" i="10"/>
  <c r="E54" i="11" s="1"/>
  <c r="E54" i="12" s="1"/>
  <c r="D54" i="10"/>
  <c r="D54" i="11" s="1"/>
  <c r="D54" i="12" s="1"/>
  <c r="G53" i="10"/>
  <c r="G53" i="11" s="1"/>
  <c r="G53" i="12" s="1"/>
  <c r="F53" i="10"/>
  <c r="F53" i="11" s="1"/>
  <c r="F53" i="12" s="1"/>
  <c r="E53" i="10"/>
  <c r="E53" i="11" s="1"/>
  <c r="E53" i="12" s="1"/>
  <c r="E52" i="10"/>
  <c r="E52" i="11" s="1"/>
  <c r="E52" i="12" s="1"/>
  <c r="D52" i="10"/>
  <c r="D52" i="11" s="1"/>
  <c r="D52" i="12" s="1"/>
  <c r="G51" i="10"/>
  <c r="G51" i="11" s="1"/>
  <c r="G51" i="12" s="1"/>
  <c r="F51" i="10"/>
  <c r="F51" i="11" s="1"/>
  <c r="F51" i="12" s="1"/>
  <c r="D51" i="10"/>
  <c r="D51" i="11" s="1"/>
  <c r="D51" i="12" s="1"/>
  <c r="E50" i="10"/>
  <c r="E50" i="11" s="1"/>
  <c r="E50" i="12" s="1"/>
  <c r="D50" i="10"/>
  <c r="D50" i="11" s="1"/>
  <c r="D50" i="12" s="1"/>
  <c r="G49" i="10"/>
  <c r="G49" i="11" s="1"/>
  <c r="G49" i="12" s="1"/>
  <c r="F49" i="10"/>
  <c r="F49" i="11" s="1"/>
  <c r="F49" i="12" s="1"/>
  <c r="E49" i="10"/>
  <c r="E49" i="11" s="1"/>
  <c r="E49" i="12" s="1"/>
  <c r="E48" i="10"/>
  <c r="E48" i="11" s="1"/>
  <c r="E48" i="12" s="1"/>
  <c r="D48" i="10"/>
  <c r="D48" i="11" s="1"/>
  <c r="D48" i="12" s="1"/>
  <c r="G47" i="10"/>
  <c r="G47" i="11" s="1"/>
  <c r="G47" i="12" s="1"/>
  <c r="F47" i="10"/>
  <c r="F47" i="11" s="1"/>
  <c r="F47" i="12" s="1"/>
  <c r="D47" i="10"/>
  <c r="D47" i="11" s="1"/>
  <c r="D47" i="12" s="1"/>
  <c r="E46" i="10"/>
  <c r="E46" i="11" s="1"/>
  <c r="E46" i="12" s="1"/>
  <c r="D46" i="10"/>
  <c r="D46" i="11" s="1"/>
  <c r="D46" i="12" s="1"/>
  <c r="G45" i="10"/>
  <c r="G45" i="11" s="1"/>
  <c r="G45" i="12" s="1"/>
  <c r="F45" i="10"/>
  <c r="F45" i="11" s="1"/>
  <c r="F45" i="12" s="1"/>
  <c r="E45" i="10"/>
  <c r="E45" i="11" s="1"/>
  <c r="E45" i="12" s="1"/>
  <c r="D44" i="10"/>
  <c r="D44" i="11" s="1"/>
  <c r="D44" i="12" s="1"/>
  <c r="C57" i="10"/>
  <c r="C57" i="11" s="1"/>
  <c r="C57" i="12" s="1"/>
  <c r="C56" i="10"/>
  <c r="C56" i="11" s="1"/>
  <c r="C56" i="12" s="1"/>
  <c r="C55" i="10"/>
  <c r="C55" i="11" s="1"/>
  <c r="C55" i="12" s="1"/>
  <c r="C53" i="10"/>
  <c r="C53" i="11" s="1"/>
  <c r="C53" i="12" s="1"/>
  <c r="C52" i="10"/>
  <c r="C52" i="11" s="1"/>
  <c r="C52" i="12" s="1"/>
  <c r="C51" i="10"/>
  <c r="C51" i="11" s="1"/>
  <c r="C51" i="12" s="1"/>
  <c r="C49" i="10"/>
  <c r="C49" i="11" s="1"/>
  <c r="C49" i="12" s="1"/>
  <c r="C48" i="10"/>
  <c r="C48" i="11" s="1"/>
  <c r="C48" i="12" s="1"/>
  <c r="C47" i="10"/>
  <c r="C47" i="11" s="1"/>
  <c r="C47" i="12" s="1"/>
  <c r="C45" i="10"/>
  <c r="C45" i="11" s="1"/>
  <c r="C45" i="12" s="1"/>
  <c r="C44" i="10"/>
  <c r="C44" i="11" s="1"/>
  <c r="C44" i="12" s="1"/>
  <c r="B58" i="10"/>
  <c r="B58" i="11" s="1"/>
  <c r="B58" i="12" s="1"/>
  <c r="B57" i="10"/>
  <c r="B57" i="11" s="1"/>
  <c r="B57" i="12" s="1"/>
  <c r="B55" i="10"/>
  <c r="B55" i="11" s="1"/>
  <c r="B55" i="12" s="1"/>
  <c r="B54" i="10"/>
  <c r="B54" i="11" s="1"/>
  <c r="B54" i="12" s="1"/>
  <c r="B53" i="10"/>
  <c r="B53" i="11" s="1"/>
  <c r="B53" i="12" s="1"/>
  <c r="B51" i="10"/>
  <c r="B51" i="11" s="1"/>
  <c r="B51" i="12" s="1"/>
  <c r="B50" i="10"/>
  <c r="B50" i="11" s="1"/>
  <c r="B50" i="12" s="1"/>
  <c r="B49" i="10"/>
  <c r="B49" i="11" s="1"/>
  <c r="B49" i="12" s="1"/>
  <c r="B47" i="10"/>
  <c r="B47" i="11" s="1"/>
  <c r="B47" i="12" s="1"/>
  <c r="B46" i="10"/>
  <c r="B46" i="11" s="1"/>
  <c r="B46" i="12" s="1"/>
  <c r="B45" i="10"/>
  <c r="B45" i="11" s="1"/>
  <c r="B45" i="12" s="1"/>
  <c r="S59" i="12"/>
  <c r="S59" i="11"/>
  <c r="S59" i="10"/>
  <c r="S59" i="9"/>
  <c r="Q52" i="1"/>
  <c r="C240" i="13" s="1"/>
  <c r="R52" i="1"/>
  <c r="S52" i="1"/>
  <c r="C238" i="13" s="1"/>
  <c r="Q53" i="1"/>
  <c r="C244" i="13" s="1"/>
  <c r="R53" i="1"/>
  <c r="S53" i="1"/>
  <c r="C242" i="13" s="1"/>
  <c r="Q54" i="1"/>
  <c r="C248" i="13" s="1"/>
  <c r="R54" i="1"/>
  <c r="S54" i="1"/>
  <c r="C246" i="13" s="1"/>
  <c r="B246" i="13" s="1"/>
  <c r="Q55" i="1"/>
  <c r="C252" i="13" s="1"/>
  <c r="R55" i="1"/>
  <c r="S55" i="1"/>
  <c r="C250" i="13" s="1"/>
  <c r="B250" i="13" s="1"/>
  <c r="Q56" i="1"/>
  <c r="C256" i="13" s="1"/>
  <c r="R56" i="1"/>
  <c r="S56" i="1"/>
  <c r="C254" i="13" s="1"/>
  <c r="B254" i="13" s="1"/>
  <c r="Q57" i="1"/>
  <c r="C260" i="13" s="1"/>
  <c r="R57" i="1"/>
  <c r="S57" i="1"/>
  <c r="C258" i="13" s="1"/>
  <c r="B258" i="13" s="1"/>
  <c r="Q58" i="1"/>
  <c r="C264" i="13" s="1"/>
  <c r="R58" i="1"/>
  <c r="S58" i="1"/>
  <c r="C262" i="13" s="1"/>
  <c r="B262" i="13" s="1"/>
  <c r="S51" i="1"/>
  <c r="C234" i="13" s="1"/>
  <c r="R51" i="1"/>
  <c r="C235" i="13" s="1"/>
  <c r="Q51" i="1"/>
  <c r="C236" i="13" s="1"/>
  <c r="S50" i="1"/>
  <c r="C230" i="13" s="1"/>
  <c r="B230" i="13" s="1"/>
  <c r="R50" i="1"/>
  <c r="C231" i="13" s="1"/>
  <c r="B231" i="13" s="1"/>
  <c r="Q50" i="1"/>
  <c r="C232" i="13" s="1"/>
  <c r="S49" i="1"/>
  <c r="C226" i="13" s="1"/>
  <c r="B226" i="13" s="1"/>
  <c r="R49" i="1"/>
  <c r="C227" i="13" s="1"/>
  <c r="B227" i="13" s="1"/>
  <c r="Q49" i="1"/>
  <c r="C228" i="13" s="1"/>
  <c r="S48" i="1"/>
  <c r="C222" i="13" s="1"/>
  <c r="R48" i="1"/>
  <c r="C223" i="13" s="1"/>
  <c r="B223" i="13" s="1"/>
  <c r="Q48" i="1"/>
  <c r="C224" i="13" s="1"/>
  <c r="S47" i="1"/>
  <c r="C218" i="13" s="1"/>
  <c r="B218" i="13" s="1"/>
  <c r="R47" i="1"/>
  <c r="C219" i="13" s="1"/>
  <c r="Q47" i="1"/>
  <c r="C220" i="13" s="1"/>
  <c r="S46" i="1"/>
  <c r="C214" i="13" s="1"/>
  <c r="R46" i="1"/>
  <c r="C215" i="13" s="1"/>
  <c r="B215" i="13" s="1"/>
  <c r="Q46" i="1"/>
  <c r="C216" i="13" s="1"/>
  <c r="S45" i="1"/>
  <c r="C210" i="13" s="1"/>
  <c r="R45" i="1"/>
  <c r="C211" i="13" s="1"/>
  <c r="Q45" i="1"/>
  <c r="C212" i="13" s="1"/>
  <c r="S44" i="1"/>
  <c r="R44" i="1"/>
  <c r="C207" i="13" s="1"/>
  <c r="B207" i="13" s="1"/>
  <c r="Q44" i="1"/>
  <c r="U44" i="1" s="1"/>
  <c r="F151" i="13"/>
  <c r="E30" i="24" s="1"/>
  <c r="A118" i="13"/>
  <c r="N26" i="1"/>
  <c r="L41" i="12"/>
  <c r="K41" i="12"/>
  <c r="J41" i="12"/>
  <c r="L41" i="11"/>
  <c r="K41" i="11"/>
  <c r="J41" i="11"/>
  <c r="L41" i="10"/>
  <c r="K41" i="10"/>
  <c r="J41" i="10"/>
  <c r="L41" i="1"/>
  <c r="K41" i="1"/>
  <c r="J41" i="1"/>
  <c r="L41" i="9"/>
  <c r="K41" i="9"/>
  <c r="J41" i="9"/>
  <c r="C94" i="13"/>
  <c r="C95" i="13" s="1"/>
  <c r="C87" i="13"/>
  <c r="C88" i="13" s="1"/>
  <c r="C80" i="13"/>
  <c r="C81" i="13" s="1"/>
  <c r="C73" i="13"/>
  <c r="C74" i="13" s="1"/>
  <c r="C66" i="13"/>
  <c r="C67" i="13" s="1"/>
  <c r="C59" i="13"/>
  <c r="C60" i="13" s="1"/>
  <c r="C52" i="13"/>
  <c r="C53" i="13" s="1"/>
  <c r="C45" i="13"/>
  <c r="C46" i="13" s="1"/>
  <c r="R8" i="1"/>
  <c r="V8" i="1" s="1"/>
  <c r="R9" i="1"/>
  <c r="V9" i="1" s="1"/>
  <c r="R10" i="1"/>
  <c r="V10" i="1" s="1"/>
  <c r="R11" i="1"/>
  <c r="V11" i="1" s="1"/>
  <c r="R12" i="1"/>
  <c r="C28" i="13" s="1"/>
  <c r="R13" i="1"/>
  <c r="V13" i="1" s="1"/>
  <c r="R14" i="1"/>
  <c r="V14" i="1" s="1"/>
  <c r="L21" i="9"/>
  <c r="L22" i="9"/>
  <c r="L22" i="10" s="1"/>
  <c r="L22" i="11" s="1"/>
  <c r="L25" i="9"/>
  <c r="M25" i="9" s="1"/>
  <c r="U7" i="1"/>
  <c r="Q8" i="1"/>
  <c r="U8" i="1" s="1"/>
  <c r="Q9" i="1"/>
  <c r="U9" i="1" s="1"/>
  <c r="Q10" i="1"/>
  <c r="U10" i="1" s="1"/>
  <c r="Q11" i="1"/>
  <c r="U11" i="1" s="1"/>
  <c r="Q12" i="1"/>
  <c r="U12" i="1" s="1"/>
  <c r="Q13" i="1"/>
  <c r="U13" i="1" s="1"/>
  <c r="Q14" i="1"/>
  <c r="U14" i="1" s="1"/>
  <c r="M21" i="1"/>
  <c r="N21" i="1" s="1"/>
  <c r="M22" i="1"/>
  <c r="N22" i="1" s="1"/>
  <c r="M25" i="1"/>
  <c r="N25" i="1" s="1"/>
  <c r="W7" i="1"/>
  <c r="S8" i="1"/>
  <c r="W8" i="1" s="1"/>
  <c r="S9" i="1"/>
  <c r="S10" i="1"/>
  <c r="S11" i="1"/>
  <c r="W11" i="1" s="1"/>
  <c r="S12" i="1"/>
  <c r="W12" i="1" s="1"/>
  <c r="S13" i="1"/>
  <c r="S14" i="1"/>
  <c r="W14" i="1" s="1"/>
  <c r="M23" i="1"/>
  <c r="N23" i="1" s="1"/>
  <c r="C108" i="13"/>
  <c r="B12" i="24" s="1"/>
  <c r="C107" i="13"/>
  <c r="B11" i="24" s="1"/>
  <c r="C106" i="13"/>
  <c r="B10" i="24" s="1"/>
  <c r="L24" i="9"/>
  <c r="L24" i="10" s="1"/>
  <c r="L26" i="9"/>
  <c r="C105" i="13"/>
  <c r="B9" i="24" s="1"/>
  <c r="C103" i="13"/>
  <c r="B8" i="24" s="1"/>
  <c r="C102" i="13"/>
  <c r="B7" i="24" s="1"/>
  <c r="B28" i="8"/>
  <c r="B29" i="8"/>
  <c r="D143" i="13"/>
  <c r="C24" i="24" s="1"/>
  <c r="D144" i="13"/>
  <c r="C25" i="24" s="1"/>
  <c r="D150" i="13"/>
  <c r="C29" i="24" s="1"/>
  <c r="D151" i="13"/>
  <c r="C30" i="24" s="1"/>
  <c r="D158" i="13"/>
  <c r="D159" i="13"/>
  <c r="C38" i="24" s="1"/>
  <c r="D152" i="13"/>
  <c r="C31" i="24" s="1"/>
  <c r="D148" i="13"/>
  <c r="C28" i="24" s="1"/>
  <c r="E143" i="13"/>
  <c r="D24" i="24" s="1"/>
  <c r="E144" i="13"/>
  <c r="D25" i="24" s="1"/>
  <c r="E150" i="13"/>
  <c r="D29" i="24" s="1"/>
  <c r="E151" i="13"/>
  <c r="D30" i="24" s="1"/>
  <c r="E158" i="13"/>
  <c r="D37" i="24" s="1"/>
  <c r="E159" i="13"/>
  <c r="D38" i="24" s="1"/>
  <c r="E153" i="13"/>
  <c r="D32" i="24" s="1"/>
  <c r="E152" i="13"/>
  <c r="D31" i="24" s="1"/>
  <c r="E148" i="13"/>
  <c r="D28" i="24" s="1"/>
  <c r="F143" i="13"/>
  <c r="E24" i="24" s="1"/>
  <c r="F144" i="13"/>
  <c r="E25" i="24" s="1"/>
  <c r="F150" i="13"/>
  <c r="E29" i="24" s="1"/>
  <c r="F158" i="13"/>
  <c r="F159" i="13"/>
  <c r="E38" i="24" s="1"/>
  <c r="F153" i="13"/>
  <c r="E32" i="24" s="1"/>
  <c r="F152" i="13"/>
  <c r="E31" i="24" s="1"/>
  <c r="F148" i="13"/>
  <c r="E28" i="24" s="1"/>
  <c r="G143" i="13"/>
  <c r="F24" i="24" s="1"/>
  <c r="G144" i="13"/>
  <c r="F25" i="24" s="1"/>
  <c r="G150" i="13"/>
  <c r="F29" i="24" s="1"/>
  <c r="G151" i="13"/>
  <c r="F30" i="24" s="1"/>
  <c r="G158" i="13"/>
  <c r="F37" i="24" s="1"/>
  <c r="G159" i="13"/>
  <c r="F38" i="24" s="1"/>
  <c r="G153" i="13"/>
  <c r="F32" i="24" s="1"/>
  <c r="G152" i="13"/>
  <c r="F31" i="24" s="1"/>
  <c r="G148" i="13"/>
  <c r="F28" i="24" s="1"/>
  <c r="C143" i="13"/>
  <c r="B24" i="24" s="1"/>
  <c r="C144" i="13"/>
  <c r="B25" i="24" s="1"/>
  <c r="C150" i="13"/>
  <c r="B29" i="24" s="1"/>
  <c r="C151" i="13"/>
  <c r="B30" i="24" s="1"/>
  <c r="C158" i="13"/>
  <c r="C159" i="13"/>
  <c r="B38" i="24" s="1"/>
  <c r="C152" i="13"/>
  <c r="B31" i="24" s="1"/>
  <c r="C148" i="13"/>
  <c r="B28" i="24" s="1"/>
  <c r="H2" i="13"/>
  <c r="A86" i="13"/>
  <c r="A79" i="13"/>
  <c r="A72" i="13"/>
  <c r="A22" i="13"/>
  <c r="A65" i="13"/>
  <c r="A58" i="13"/>
  <c r="A51" i="13"/>
  <c r="A44" i="13"/>
  <c r="A34" i="13"/>
  <c r="A30" i="13"/>
  <c r="A26" i="13"/>
  <c r="A18" i="13"/>
  <c r="A14" i="13"/>
  <c r="A10" i="13"/>
  <c r="A6" i="13"/>
  <c r="C98" i="13"/>
  <c r="C99" i="13" s="1"/>
  <c r="C91" i="13"/>
  <c r="C92" i="13" s="1"/>
  <c r="C84" i="13"/>
  <c r="C77" i="13"/>
  <c r="C78" i="13" s="1"/>
  <c r="C70" i="13"/>
  <c r="C71" i="13" s="1"/>
  <c r="C63" i="13"/>
  <c r="C64" i="13" s="1"/>
  <c r="C56" i="13"/>
  <c r="C96" i="13"/>
  <c r="C97" i="13" s="1"/>
  <c r="C89" i="13"/>
  <c r="C90" i="13" s="1"/>
  <c r="C82" i="13"/>
  <c r="C83" i="13" s="1"/>
  <c r="C75" i="13"/>
  <c r="C76" i="13" s="1"/>
  <c r="C68" i="13"/>
  <c r="C69" i="13" s="1"/>
  <c r="C61" i="13"/>
  <c r="C62" i="13" s="1"/>
  <c r="C54" i="13"/>
  <c r="C55" i="13" s="1"/>
  <c r="C49" i="13"/>
  <c r="C50" i="13" s="1"/>
  <c r="C47" i="13"/>
  <c r="C48" i="13" s="1"/>
  <c r="A167" i="13"/>
  <c r="D137" i="13"/>
  <c r="C21" i="24" s="1"/>
  <c r="E137" i="13"/>
  <c r="D21" i="24" s="1"/>
  <c r="F137" i="13"/>
  <c r="E21" i="24" s="1"/>
  <c r="G137" i="13"/>
  <c r="F21" i="24" s="1"/>
  <c r="D138" i="13"/>
  <c r="C22" i="24" s="1"/>
  <c r="E138" i="13"/>
  <c r="D22" i="24" s="1"/>
  <c r="F138" i="13"/>
  <c r="E22" i="24" s="1"/>
  <c r="G138" i="13"/>
  <c r="F22" i="24" s="1"/>
  <c r="D139" i="13"/>
  <c r="C23" i="24" s="1"/>
  <c r="E139" i="13"/>
  <c r="D23" i="24" s="1"/>
  <c r="F139" i="13"/>
  <c r="E23" i="24" s="1"/>
  <c r="G139" i="13"/>
  <c r="F23" i="24" s="1"/>
  <c r="G136" i="13"/>
  <c r="F136" i="13"/>
  <c r="E136" i="13"/>
  <c r="D136" i="13"/>
  <c r="C137" i="13"/>
  <c r="B21" i="24" s="1"/>
  <c r="C139" i="13"/>
  <c r="B23" i="24" s="1"/>
  <c r="C136" i="13"/>
  <c r="P48" i="2"/>
  <c r="N48" i="2"/>
  <c r="L48" i="2"/>
  <c r="H15" i="2"/>
  <c r="H21" i="2"/>
  <c r="H29" i="2"/>
  <c r="J15" i="2"/>
  <c r="J21" i="2"/>
  <c r="J29" i="2"/>
  <c r="P15" i="2"/>
  <c r="P21" i="2"/>
  <c r="P29" i="2"/>
  <c r="N15" i="2"/>
  <c r="N21" i="2"/>
  <c r="N29" i="2"/>
  <c r="L15" i="2"/>
  <c r="L21" i="2"/>
  <c r="L29" i="2"/>
  <c r="G131" i="13"/>
  <c r="F17" i="24" s="1"/>
  <c r="F131" i="13"/>
  <c r="E17" i="24" s="1"/>
  <c r="E131" i="13"/>
  <c r="D17" i="24" s="1"/>
  <c r="G132" i="13"/>
  <c r="F18" i="24" s="1"/>
  <c r="F132" i="13"/>
  <c r="E18" i="24" s="1"/>
  <c r="E132" i="13"/>
  <c r="D18" i="24" s="1"/>
  <c r="E133" i="13"/>
  <c r="F133" i="13"/>
  <c r="C132" i="13"/>
  <c r="B18" i="24" s="1"/>
  <c r="D132" i="13"/>
  <c r="C18" i="24" s="1"/>
  <c r="C131" i="13"/>
  <c r="B17" i="24" s="1"/>
  <c r="D131" i="13"/>
  <c r="C17" i="24" s="1"/>
  <c r="E127" i="13"/>
  <c r="M24" i="1"/>
  <c r="N24" i="1" s="1"/>
  <c r="C8" i="13"/>
  <c r="A117" i="13"/>
  <c r="H176" i="13"/>
  <c r="K26" i="9"/>
  <c r="K26" i="10" s="1"/>
  <c r="K26" i="11" s="1"/>
  <c r="K26" i="12" s="1"/>
  <c r="J26" i="9"/>
  <c r="J26" i="10" s="1"/>
  <c r="J26" i="11" s="1"/>
  <c r="J26" i="12" s="1"/>
  <c r="I26" i="9"/>
  <c r="I26" i="10" s="1"/>
  <c r="I26" i="11" s="1"/>
  <c r="I26" i="12" s="1"/>
  <c r="B26" i="9"/>
  <c r="B26" i="10" s="1"/>
  <c r="B26" i="11" s="1"/>
  <c r="B26" i="12" s="1"/>
  <c r="K25" i="9"/>
  <c r="K25" i="10" s="1"/>
  <c r="K25" i="11" s="1"/>
  <c r="K25" i="12" s="1"/>
  <c r="J25" i="9"/>
  <c r="J25" i="10" s="1"/>
  <c r="J25" i="11" s="1"/>
  <c r="J25" i="12" s="1"/>
  <c r="I25" i="9"/>
  <c r="I25" i="10" s="1"/>
  <c r="I25" i="11" s="1"/>
  <c r="I25" i="12" s="1"/>
  <c r="B25" i="9"/>
  <c r="B25" i="10" s="1"/>
  <c r="B25" i="11" s="1"/>
  <c r="B25" i="12" s="1"/>
  <c r="K24" i="9"/>
  <c r="K24" i="10" s="1"/>
  <c r="K24" i="11" s="1"/>
  <c r="K24" i="12" s="1"/>
  <c r="J24" i="9"/>
  <c r="J24" i="10" s="1"/>
  <c r="J24" i="11" s="1"/>
  <c r="J24" i="12" s="1"/>
  <c r="I24" i="9"/>
  <c r="I24" i="10" s="1"/>
  <c r="I24" i="11" s="1"/>
  <c r="I24" i="12" s="1"/>
  <c r="B24" i="9"/>
  <c r="B24" i="10" s="1"/>
  <c r="B24" i="11" s="1"/>
  <c r="B24" i="12" s="1"/>
  <c r="K23" i="9"/>
  <c r="K23" i="10" s="1"/>
  <c r="K23" i="11" s="1"/>
  <c r="K23" i="12" s="1"/>
  <c r="J23" i="9"/>
  <c r="J23" i="10" s="1"/>
  <c r="J23" i="11" s="1"/>
  <c r="J23" i="12" s="1"/>
  <c r="I23" i="9"/>
  <c r="I23" i="10" s="1"/>
  <c r="I23" i="11" s="1"/>
  <c r="I23" i="12" s="1"/>
  <c r="H23" i="10"/>
  <c r="H23" i="11" s="1"/>
  <c r="H23" i="12" s="1"/>
  <c r="B23" i="10"/>
  <c r="K22" i="9"/>
  <c r="K22" i="10" s="1"/>
  <c r="K22" i="11" s="1"/>
  <c r="K22" i="12" s="1"/>
  <c r="J22" i="9"/>
  <c r="J22" i="10" s="1"/>
  <c r="J22" i="11" s="1"/>
  <c r="J22" i="12" s="1"/>
  <c r="I22" i="9"/>
  <c r="I22" i="10" s="1"/>
  <c r="I22" i="11" s="1"/>
  <c r="I22" i="12" s="1"/>
  <c r="B22" i="10"/>
  <c r="B22" i="11" s="1"/>
  <c r="B22" i="12" s="1"/>
  <c r="K21" i="9"/>
  <c r="K21" i="10" s="1"/>
  <c r="K21" i="11" s="1"/>
  <c r="K21" i="12" s="1"/>
  <c r="J21" i="9"/>
  <c r="J21" i="10" s="1"/>
  <c r="J21" i="11" s="1"/>
  <c r="J21" i="12" s="1"/>
  <c r="I21" i="9"/>
  <c r="I21" i="10" s="1"/>
  <c r="I21" i="11" s="1"/>
  <c r="I21" i="12" s="1"/>
  <c r="B21" i="9"/>
  <c r="B21" i="10" s="1"/>
  <c r="B21" i="11" s="1"/>
  <c r="G14" i="9"/>
  <c r="G14" i="10" s="1"/>
  <c r="G14" i="11" s="1"/>
  <c r="G14" i="12" s="1"/>
  <c r="F14" i="9"/>
  <c r="F14" i="10" s="1"/>
  <c r="F14" i="11" s="1"/>
  <c r="F14" i="12" s="1"/>
  <c r="E14" i="9"/>
  <c r="E14" i="10" s="1"/>
  <c r="E14" i="11" s="1"/>
  <c r="E14" i="12" s="1"/>
  <c r="D14" i="9"/>
  <c r="D14" i="10" s="1"/>
  <c r="D14" i="11" s="1"/>
  <c r="D14" i="12" s="1"/>
  <c r="C14" i="9"/>
  <c r="C14" i="10" s="1"/>
  <c r="C14" i="11" s="1"/>
  <c r="C14" i="12" s="1"/>
  <c r="B14" i="9"/>
  <c r="B14" i="10" s="1"/>
  <c r="B14" i="11" s="1"/>
  <c r="B14" i="12" s="1"/>
  <c r="G13" i="9"/>
  <c r="G13" i="10" s="1"/>
  <c r="G13" i="11" s="1"/>
  <c r="G13" i="12" s="1"/>
  <c r="F13" i="9"/>
  <c r="F13" i="10" s="1"/>
  <c r="F13" i="11" s="1"/>
  <c r="F13" i="12" s="1"/>
  <c r="E13" i="9"/>
  <c r="E13" i="10" s="1"/>
  <c r="E13" i="11" s="1"/>
  <c r="E13" i="12" s="1"/>
  <c r="D13" i="9"/>
  <c r="D13" i="10" s="1"/>
  <c r="D13" i="11" s="1"/>
  <c r="D13" i="12" s="1"/>
  <c r="C13" i="9"/>
  <c r="C13" i="10" s="1"/>
  <c r="C13" i="11" s="1"/>
  <c r="C13" i="12" s="1"/>
  <c r="B13" i="9"/>
  <c r="B13" i="10" s="1"/>
  <c r="B13" i="11" s="1"/>
  <c r="B13" i="12" s="1"/>
  <c r="G12" i="9"/>
  <c r="G12" i="10" s="1"/>
  <c r="G12" i="11" s="1"/>
  <c r="G12" i="12" s="1"/>
  <c r="F12" i="9"/>
  <c r="F12" i="10" s="1"/>
  <c r="F12" i="11" s="1"/>
  <c r="F12" i="12" s="1"/>
  <c r="E12" i="9"/>
  <c r="E12" i="10" s="1"/>
  <c r="E12" i="11" s="1"/>
  <c r="E12" i="12" s="1"/>
  <c r="D12" i="9"/>
  <c r="D12" i="10" s="1"/>
  <c r="D12" i="11" s="1"/>
  <c r="D12" i="12" s="1"/>
  <c r="C12" i="9"/>
  <c r="C12" i="10" s="1"/>
  <c r="C12" i="11" s="1"/>
  <c r="C12" i="12" s="1"/>
  <c r="B12" i="9"/>
  <c r="B12" i="10" s="1"/>
  <c r="B12" i="11" s="1"/>
  <c r="B12" i="12" s="1"/>
  <c r="G11" i="9"/>
  <c r="G11" i="10" s="1"/>
  <c r="G11" i="11" s="1"/>
  <c r="G11" i="12" s="1"/>
  <c r="F11" i="9"/>
  <c r="F11" i="10" s="1"/>
  <c r="F11" i="11" s="1"/>
  <c r="F11" i="12" s="1"/>
  <c r="E11" i="9"/>
  <c r="E11" i="10" s="1"/>
  <c r="E11" i="11" s="1"/>
  <c r="E11" i="12" s="1"/>
  <c r="D11" i="9"/>
  <c r="D11" i="10" s="1"/>
  <c r="D11" i="11" s="1"/>
  <c r="D11" i="12" s="1"/>
  <c r="C11" i="9"/>
  <c r="C11" i="10" s="1"/>
  <c r="C11" i="11" s="1"/>
  <c r="C11" i="12" s="1"/>
  <c r="B11" i="9"/>
  <c r="B11" i="10" s="1"/>
  <c r="B11" i="11" s="1"/>
  <c r="B11" i="12" s="1"/>
  <c r="G10" i="9"/>
  <c r="G10" i="10" s="1"/>
  <c r="G10" i="11" s="1"/>
  <c r="G10" i="12" s="1"/>
  <c r="F10" i="9"/>
  <c r="F10" i="10" s="1"/>
  <c r="F10" i="11" s="1"/>
  <c r="F10" i="12" s="1"/>
  <c r="E10" i="9"/>
  <c r="E10" i="10" s="1"/>
  <c r="E10" i="11" s="1"/>
  <c r="E10" i="12" s="1"/>
  <c r="D10" i="9"/>
  <c r="D10" i="10" s="1"/>
  <c r="D10" i="11" s="1"/>
  <c r="D10" i="12" s="1"/>
  <c r="C10" i="9"/>
  <c r="C10" i="10" s="1"/>
  <c r="C10" i="11" s="1"/>
  <c r="C10" i="12" s="1"/>
  <c r="B10" i="9"/>
  <c r="B10" i="10" s="1"/>
  <c r="B10" i="11" s="1"/>
  <c r="B10" i="12" s="1"/>
  <c r="G9" i="9"/>
  <c r="G9" i="10" s="1"/>
  <c r="G9" i="11" s="1"/>
  <c r="G9" i="12" s="1"/>
  <c r="F9" i="9"/>
  <c r="F9" i="10" s="1"/>
  <c r="F9" i="11" s="1"/>
  <c r="F9" i="12" s="1"/>
  <c r="E9" i="9"/>
  <c r="E9" i="10" s="1"/>
  <c r="E9" i="11" s="1"/>
  <c r="E9" i="12" s="1"/>
  <c r="D9" i="9"/>
  <c r="D9" i="10" s="1"/>
  <c r="D9" i="11" s="1"/>
  <c r="D9" i="12" s="1"/>
  <c r="C9" i="9"/>
  <c r="C9" i="10" s="1"/>
  <c r="C9" i="11" s="1"/>
  <c r="C9" i="12" s="1"/>
  <c r="B9" i="9"/>
  <c r="B9" i="10" s="1"/>
  <c r="B9" i="11" s="1"/>
  <c r="B9" i="12" s="1"/>
  <c r="G8" i="9"/>
  <c r="G8" i="10" s="1"/>
  <c r="G8" i="11" s="1"/>
  <c r="G8" i="12" s="1"/>
  <c r="F8" i="9"/>
  <c r="F8" i="10" s="1"/>
  <c r="F8" i="11" s="1"/>
  <c r="F8" i="12" s="1"/>
  <c r="E8" i="9"/>
  <c r="E8" i="10" s="1"/>
  <c r="E8" i="11" s="1"/>
  <c r="E8" i="12" s="1"/>
  <c r="D8" i="9"/>
  <c r="D8" i="10" s="1"/>
  <c r="D8" i="11" s="1"/>
  <c r="D8" i="12" s="1"/>
  <c r="C8" i="9"/>
  <c r="C8" i="10" s="1"/>
  <c r="C8" i="11" s="1"/>
  <c r="C8" i="12" s="1"/>
  <c r="B8" i="9"/>
  <c r="B8" i="10" s="1"/>
  <c r="B8" i="11" s="1"/>
  <c r="B8" i="12" s="1"/>
  <c r="G7" i="9"/>
  <c r="G7" i="10" s="1"/>
  <c r="G7" i="11" s="1"/>
  <c r="G7" i="12" s="1"/>
  <c r="F7" i="9"/>
  <c r="F7" i="10" s="1"/>
  <c r="F7" i="11" s="1"/>
  <c r="F7" i="12" s="1"/>
  <c r="E7" i="9"/>
  <c r="E7" i="10" s="1"/>
  <c r="E7" i="11" s="1"/>
  <c r="E7" i="12" s="1"/>
  <c r="D7" i="9"/>
  <c r="D7" i="10" s="1"/>
  <c r="D7" i="11" s="1"/>
  <c r="D7" i="12" s="1"/>
  <c r="C7" i="9"/>
  <c r="C7" i="10" s="1"/>
  <c r="C7" i="11" s="1"/>
  <c r="C7" i="12" s="1"/>
  <c r="B7" i="9"/>
  <c r="B7" i="10" s="1"/>
  <c r="B7" i="11" s="1"/>
  <c r="B7" i="12" s="1"/>
  <c r="R35" i="2"/>
  <c r="F21" i="8" s="1"/>
  <c r="R36" i="2"/>
  <c r="F22" i="8" s="1"/>
  <c r="R37" i="2"/>
  <c r="F23" i="8" s="1"/>
  <c r="R39" i="2"/>
  <c r="F25" i="8" s="1"/>
  <c r="R40" i="2"/>
  <c r="F26" i="8" s="1"/>
  <c r="R46" i="2"/>
  <c r="F28" i="8" s="1"/>
  <c r="R47" i="2"/>
  <c r="F29" i="8" s="1"/>
  <c r="R34" i="2"/>
  <c r="F20" i="8" s="1"/>
  <c r="R26" i="2"/>
  <c r="F15" i="8" s="1"/>
  <c r="R27" i="2"/>
  <c r="F16" i="8" s="1"/>
  <c r="R28" i="2"/>
  <c r="F17" i="8" s="1"/>
  <c r="R25" i="2"/>
  <c r="R20" i="2"/>
  <c r="F12" i="8" s="1"/>
  <c r="R19" i="2"/>
  <c r="F11" i="8" s="1"/>
  <c r="R7" i="2"/>
  <c r="R8" i="2"/>
  <c r="R9" i="2"/>
  <c r="R10" i="2"/>
  <c r="R11" i="2"/>
  <c r="R12" i="2"/>
  <c r="R13" i="2"/>
  <c r="R14" i="2"/>
  <c r="B214" i="13" l="1"/>
  <c r="B222" i="13"/>
  <c r="B242" i="13"/>
  <c r="B211" i="13"/>
  <c r="B219" i="13"/>
  <c r="B235" i="13"/>
  <c r="B210" i="13"/>
  <c r="B234" i="13"/>
  <c r="B238" i="13"/>
  <c r="B37" i="24"/>
  <c r="C160" i="13"/>
  <c r="B23" i="11"/>
  <c r="B29" i="11" s="1"/>
  <c r="L93" i="2"/>
  <c r="C119" i="13"/>
  <c r="J13" i="19"/>
  <c r="D19" i="24"/>
  <c r="L21" i="19"/>
  <c r="E20" i="24"/>
  <c r="N21" i="19"/>
  <c r="F20" i="24"/>
  <c r="H21" i="19"/>
  <c r="C20" i="24"/>
  <c r="F160" i="13"/>
  <c r="E39" i="24" s="1"/>
  <c r="E37" i="24"/>
  <c r="L13" i="19"/>
  <c r="E19" i="24"/>
  <c r="J21" i="19"/>
  <c r="D20" i="24"/>
  <c r="C37" i="24"/>
  <c r="F21" i="19"/>
  <c r="B20" i="24"/>
  <c r="C12" i="13"/>
  <c r="V12" i="1"/>
  <c r="M12" i="1" s="1"/>
  <c r="N12" i="1" s="1"/>
  <c r="G160" i="13"/>
  <c r="F39" i="24" s="1"/>
  <c r="M23" i="9"/>
  <c r="M11" i="1"/>
  <c r="N11" i="1" s="1"/>
  <c r="M14" i="1"/>
  <c r="N14" i="1" s="1"/>
  <c r="C13" i="13"/>
  <c r="D63" i="13"/>
  <c r="D64" i="13" s="1"/>
  <c r="C24" i="13"/>
  <c r="M8" i="1"/>
  <c r="N8" i="1" s="1"/>
  <c r="C37" i="13"/>
  <c r="C21" i="13"/>
  <c r="C20" i="13"/>
  <c r="C36" i="13"/>
  <c r="D105" i="13"/>
  <c r="C9" i="24" s="1"/>
  <c r="C120" i="13"/>
  <c r="B39" i="24"/>
  <c r="E160" i="13"/>
  <c r="D39" i="24" s="1"/>
  <c r="L24" i="11"/>
  <c r="L24" i="12" s="1"/>
  <c r="M24" i="12" s="1"/>
  <c r="M24" i="9"/>
  <c r="L25" i="10"/>
  <c r="L25" i="11" s="1"/>
  <c r="M24" i="10"/>
  <c r="N24" i="10" s="1"/>
  <c r="N25" i="9"/>
  <c r="C7" i="13"/>
  <c r="N22" i="11"/>
  <c r="L22" i="12"/>
  <c r="M22" i="11"/>
  <c r="B21" i="12"/>
  <c r="B29" i="9"/>
  <c r="E107" i="13"/>
  <c r="D11" i="24" s="1"/>
  <c r="L23" i="10"/>
  <c r="M22" i="10"/>
  <c r="N22" i="10" s="1"/>
  <c r="B29" i="10"/>
  <c r="M21" i="9"/>
  <c r="N21" i="9" s="1"/>
  <c r="L21" i="10"/>
  <c r="L26" i="10"/>
  <c r="E108" i="13" s="1"/>
  <c r="D12" i="24" s="1"/>
  <c r="B15" i="9"/>
  <c r="B16" i="9" s="1"/>
  <c r="E44" i="10"/>
  <c r="E44" i="11" s="1"/>
  <c r="E44" i="12" s="1"/>
  <c r="B59" i="12" s="1"/>
  <c r="B15" i="12" s="1"/>
  <c r="B16" i="12" s="1"/>
  <c r="Q52" i="9"/>
  <c r="D329" i="13"/>
  <c r="D281" i="13"/>
  <c r="P45" i="9"/>
  <c r="D212" i="13" s="1"/>
  <c r="P56" i="9"/>
  <c r="D256" i="13" s="1"/>
  <c r="P52" i="9"/>
  <c r="D240" i="13" s="1"/>
  <c r="N24" i="9"/>
  <c r="M22" i="9"/>
  <c r="N22" i="9" s="1"/>
  <c r="D300" i="13"/>
  <c r="Q48" i="9"/>
  <c r="D223" i="13" s="1"/>
  <c r="D359" i="13"/>
  <c r="P48" i="9"/>
  <c r="D224" i="13" s="1"/>
  <c r="M26" i="9"/>
  <c r="N15" i="19"/>
  <c r="H15" i="19"/>
  <c r="F15" i="19"/>
  <c r="J15" i="19"/>
  <c r="L15" i="19"/>
  <c r="G127" i="13"/>
  <c r="G128" i="13"/>
  <c r="F128" i="13"/>
  <c r="F127" i="13"/>
  <c r="C16" i="13"/>
  <c r="C32" i="13"/>
  <c r="E128" i="13"/>
  <c r="D140" i="13"/>
  <c r="C23" i="13"/>
  <c r="C208" i="13"/>
  <c r="C267" i="13" s="1"/>
  <c r="C29" i="13"/>
  <c r="C33" i="13"/>
  <c r="C25" i="13"/>
  <c r="C17" i="13"/>
  <c r="C11" i="13"/>
  <c r="C27" i="13"/>
  <c r="C35" i="13"/>
  <c r="D102" i="13"/>
  <c r="C7" i="24" s="1"/>
  <c r="C112" i="13"/>
  <c r="C111" i="13"/>
  <c r="H197" i="13"/>
  <c r="H189" i="13"/>
  <c r="H159" i="13"/>
  <c r="G38" i="24" s="1"/>
  <c r="H151" i="13"/>
  <c r="G30" i="24" s="1"/>
  <c r="G133" i="13"/>
  <c r="D127" i="13"/>
  <c r="D128" i="13"/>
  <c r="C128" i="13"/>
  <c r="D107" i="13"/>
  <c r="C11" i="24" s="1"/>
  <c r="C255" i="13"/>
  <c r="B255" i="13" s="1"/>
  <c r="V56" i="1"/>
  <c r="C239" i="13"/>
  <c r="B239" i="13" s="1"/>
  <c r="V52" i="1"/>
  <c r="W44" i="1"/>
  <c r="S59" i="1"/>
  <c r="C127" i="13"/>
  <c r="H138" i="13"/>
  <c r="G22" i="24" s="1"/>
  <c r="H139" i="13"/>
  <c r="G23" i="24" s="1"/>
  <c r="H137" i="13"/>
  <c r="G21" i="24" s="1"/>
  <c r="C259" i="13"/>
  <c r="B259" i="13" s="1"/>
  <c r="V57" i="1"/>
  <c r="C243" i="13"/>
  <c r="B243" i="13" s="1"/>
  <c r="V53" i="1"/>
  <c r="C133" i="13"/>
  <c r="W13" i="1"/>
  <c r="M13" i="1" s="1"/>
  <c r="N13" i="1" s="1"/>
  <c r="C31" i="13"/>
  <c r="W9" i="1"/>
  <c r="M9" i="1" s="1"/>
  <c r="N9" i="1" s="1"/>
  <c r="C15" i="13"/>
  <c r="C251" i="13"/>
  <c r="B251" i="13" s="1"/>
  <c r="V55" i="1"/>
  <c r="C206" i="13"/>
  <c r="B206" i="13" s="1"/>
  <c r="Q59" i="1"/>
  <c r="R38" i="2"/>
  <c r="F24" i="8" s="1"/>
  <c r="H144" i="13"/>
  <c r="G25" i="24" s="1"/>
  <c r="H195" i="13"/>
  <c r="H187" i="13"/>
  <c r="H148" i="13"/>
  <c r="G28" i="24" s="1"/>
  <c r="H158" i="13"/>
  <c r="G37" i="24" s="1"/>
  <c r="H193" i="13"/>
  <c r="W10" i="1"/>
  <c r="M10" i="1" s="1"/>
  <c r="N10" i="1" s="1"/>
  <c r="C19" i="13"/>
  <c r="R15" i="1"/>
  <c r="R59" i="1"/>
  <c r="V44" i="1"/>
  <c r="C263" i="13"/>
  <c r="B263" i="13" s="1"/>
  <c r="V58" i="1"/>
  <c r="C247" i="13"/>
  <c r="B247" i="13" s="1"/>
  <c r="V54" i="1"/>
  <c r="R29" i="2"/>
  <c r="F18" i="8" s="1"/>
  <c r="V7" i="1"/>
  <c r="M7" i="1" s="1"/>
  <c r="N7" i="1" s="1"/>
  <c r="R15" i="2"/>
  <c r="G9" i="8" s="1"/>
  <c r="C9" i="13"/>
  <c r="Q15" i="1"/>
  <c r="C57" i="13"/>
  <c r="H199" i="13"/>
  <c r="H191" i="13"/>
  <c r="D201" i="13"/>
  <c r="H150" i="13"/>
  <c r="G29" i="24" s="1"/>
  <c r="C85" i="13"/>
  <c r="E201" i="13"/>
  <c r="F107" i="13"/>
  <c r="E11" i="24" s="1"/>
  <c r="H143" i="13"/>
  <c r="H152" i="13"/>
  <c r="G31" i="24" s="1"/>
  <c r="D103" i="13"/>
  <c r="C8" i="24" s="1"/>
  <c r="H136" i="13"/>
  <c r="G20" i="24" s="1"/>
  <c r="E106" i="13"/>
  <c r="D10" i="24" s="1"/>
  <c r="D108" i="13"/>
  <c r="C12" i="24" s="1"/>
  <c r="D106" i="13"/>
  <c r="C10" i="24" s="1"/>
  <c r="F14" i="8"/>
  <c r="H132" i="13"/>
  <c r="G18" i="24" s="1"/>
  <c r="R21" i="2"/>
  <c r="F10" i="8" s="1"/>
  <c r="H131" i="13"/>
  <c r="G17" i="24" s="1"/>
  <c r="D133" i="13"/>
  <c r="C140" i="13"/>
  <c r="G201" i="13"/>
  <c r="C201" i="13"/>
  <c r="F201" i="13"/>
  <c r="E140" i="13"/>
  <c r="F140" i="13"/>
  <c r="G140" i="13"/>
  <c r="U15" i="1"/>
  <c r="S15" i="1"/>
  <c r="U45" i="1"/>
  <c r="V45" i="1"/>
  <c r="W45" i="1"/>
  <c r="U46" i="1"/>
  <c r="V46" i="1"/>
  <c r="W46" i="1"/>
  <c r="U47" i="1"/>
  <c r="V47" i="1"/>
  <c r="W47" i="1"/>
  <c r="U48" i="1"/>
  <c r="V48" i="1"/>
  <c r="W48" i="1"/>
  <c r="U49" i="1"/>
  <c r="V49" i="1"/>
  <c r="W49" i="1"/>
  <c r="U50" i="1"/>
  <c r="V50" i="1"/>
  <c r="W50" i="1"/>
  <c r="U51" i="1"/>
  <c r="V51" i="1"/>
  <c r="W51" i="1"/>
  <c r="W58" i="1"/>
  <c r="U58" i="1"/>
  <c r="W57" i="1"/>
  <c r="U57" i="1"/>
  <c r="W56" i="1"/>
  <c r="U56" i="1"/>
  <c r="W55" i="1"/>
  <c r="U55" i="1"/>
  <c r="W54" i="1"/>
  <c r="U54" i="1"/>
  <c r="W53" i="1"/>
  <c r="U53" i="1"/>
  <c r="W52" i="1"/>
  <c r="U52" i="1"/>
  <c r="D283" i="13"/>
  <c r="D302" i="13"/>
  <c r="D304" i="13"/>
  <c r="D318" i="13"/>
  <c r="D331" i="13"/>
  <c r="D333" i="13"/>
  <c r="D354" i="13"/>
  <c r="D361" i="13"/>
  <c r="P21" i="19" l="1"/>
  <c r="E102" i="13"/>
  <c r="D7" i="24" s="1"/>
  <c r="L23" i="11"/>
  <c r="L23" i="12" s="1"/>
  <c r="B23" i="12"/>
  <c r="P93" i="2" s="1"/>
  <c r="N93" i="2"/>
  <c r="P15" i="19"/>
  <c r="H14" i="19"/>
  <c r="C16" i="24"/>
  <c r="L14" i="19"/>
  <c r="E16" i="24"/>
  <c r="N13" i="19"/>
  <c r="F19" i="24"/>
  <c r="N14" i="19"/>
  <c r="F16" i="24"/>
  <c r="J14" i="19"/>
  <c r="D16" i="24"/>
  <c r="H13" i="19"/>
  <c r="C19" i="24"/>
  <c r="D17" i="18"/>
  <c r="H17" i="18" s="1"/>
  <c r="G24" i="24"/>
  <c r="F13" i="19"/>
  <c r="B19" i="24"/>
  <c r="F14" i="19"/>
  <c r="P14" i="19" s="1"/>
  <c r="B16" i="24"/>
  <c r="E375" i="13"/>
  <c r="E376" i="13" s="1"/>
  <c r="E276" i="13"/>
  <c r="E277" i="13" s="1"/>
  <c r="Q12" i="9"/>
  <c r="U12" i="9" s="1"/>
  <c r="Q9" i="9"/>
  <c r="U9" i="9" s="1"/>
  <c r="D96" i="13"/>
  <c r="D97" i="13" s="1"/>
  <c r="P8" i="9"/>
  <c r="T8" i="9" s="1"/>
  <c r="P13" i="9"/>
  <c r="T13" i="9" s="1"/>
  <c r="P8" i="10"/>
  <c r="D91" i="13"/>
  <c r="D92" i="13" s="1"/>
  <c r="D119" i="13"/>
  <c r="N29" i="1"/>
  <c r="N23" i="9"/>
  <c r="N24" i="12"/>
  <c r="M24" i="11"/>
  <c r="N24" i="11" s="1"/>
  <c r="D89" i="13"/>
  <c r="D90" i="13" s="1"/>
  <c r="D56" i="13"/>
  <c r="D57" i="13" s="1"/>
  <c r="D98" i="13"/>
  <c r="D99" i="13" s="1"/>
  <c r="P14" i="9"/>
  <c r="D37" i="13" s="1"/>
  <c r="D84" i="13"/>
  <c r="D85" i="13" s="1"/>
  <c r="P53" i="10"/>
  <c r="D59" i="13"/>
  <c r="D60" i="13" s="1"/>
  <c r="P54" i="10"/>
  <c r="R12" i="9"/>
  <c r="B59" i="11"/>
  <c r="B15" i="11" s="1"/>
  <c r="B16" i="11" s="1"/>
  <c r="P9" i="9"/>
  <c r="T9" i="9" s="1"/>
  <c r="P12" i="9"/>
  <c r="D29" i="13" s="1"/>
  <c r="B59" i="10"/>
  <c r="B15" i="10" s="1"/>
  <c r="B16" i="10" s="1"/>
  <c r="M48" i="1"/>
  <c r="N48" i="1" s="1"/>
  <c r="M53" i="1"/>
  <c r="N53" i="1" s="1"/>
  <c r="M55" i="1"/>
  <c r="N55" i="1" s="1"/>
  <c r="M57" i="1"/>
  <c r="N57" i="1" s="1"/>
  <c r="M49" i="1"/>
  <c r="N49" i="1" s="1"/>
  <c r="M45" i="1"/>
  <c r="N45" i="1" s="1"/>
  <c r="M44" i="1"/>
  <c r="N44" i="1" s="1"/>
  <c r="D375" i="13"/>
  <c r="D376" i="13" s="1"/>
  <c r="M50" i="1"/>
  <c r="N50" i="1" s="1"/>
  <c r="M46" i="1"/>
  <c r="N46" i="1" s="1"/>
  <c r="M52" i="1"/>
  <c r="N52" i="1" s="1"/>
  <c r="M54" i="1"/>
  <c r="N54" i="1" s="1"/>
  <c r="M56" i="1"/>
  <c r="N56" i="1" s="1"/>
  <c r="M58" i="1"/>
  <c r="N58" i="1" s="1"/>
  <c r="M51" i="1"/>
  <c r="N51" i="1" s="1"/>
  <c r="M47" i="1"/>
  <c r="N47" i="1" s="1"/>
  <c r="D274" i="13"/>
  <c r="D275" i="13" s="1"/>
  <c r="P44" i="9"/>
  <c r="T44" i="9" s="1"/>
  <c r="L14" i="9"/>
  <c r="Q14" i="9"/>
  <c r="U14" i="9" s="1"/>
  <c r="P7" i="9"/>
  <c r="T7" i="9" s="1"/>
  <c r="D77" i="13"/>
  <c r="D78" i="13" s="1"/>
  <c r="F103" i="13"/>
  <c r="E8" i="24" s="1"/>
  <c r="D297" i="13"/>
  <c r="D298" i="13" s="1"/>
  <c r="D347" i="13"/>
  <c r="D348" i="13" s="1"/>
  <c r="G106" i="13"/>
  <c r="F10" i="24" s="1"/>
  <c r="F106" i="13"/>
  <c r="E10" i="24" s="1"/>
  <c r="T56" i="9"/>
  <c r="T45" i="9"/>
  <c r="D49" i="13"/>
  <c r="D50" i="13" s="1"/>
  <c r="D276" i="13"/>
  <c r="D277" i="13" s="1"/>
  <c r="D311" i="13"/>
  <c r="D312" i="13" s="1"/>
  <c r="D368" i="13"/>
  <c r="D369" i="13" s="1"/>
  <c r="D120" i="13"/>
  <c r="N25" i="10"/>
  <c r="L25" i="12"/>
  <c r="M25" i="10"/>
  <c r="M25" i="11"/>
  <c r="N25" i="11" s="1"/>
  <c r="D70" i="13"/>
  <c r="D71" i="13" s="1"/>
  <c r="T48" i="9"/>
  <c r="E103" i="13"/>
  <c r="D8" i="24" s="1"/>
  <c r="T52" i="9"/>
  <c r="U48" i="9"/>
  <c r="N26" i="9"/>
  <c r="V15" i="1"/>
  <c r="P57" i="10"/>
  <c r="E368" i="13"/>
  <c r="E369" i="13" s="1"/>
  <c r="D325" i="13"/>
  <c r="D326" i="13" s="1"/>
  <c r="M23" i="10"/>
  <c r="N23" i="10" s="1"/>
  <c r="W4" i="23" s="1"/>
  <c r="D290" i="13"/>
  <c r="D291" i="13" s="1"/>
  <c r="P11" i="10"/>
  <c r="P58" i="10"/>
  <c r="D239" i="13"/>
  <c r="U52" i="9"/>
  <c r="M25" i="12"/>
  <c r="M22" i="12"/>
  <c r="N22" i="12" s="1"/>
  <c r="G107" i="13"/>
  <c r="P44" i="10"/>
  <c r="L21" i="11"/>
  <c r="N21" i="10"/>
  <c r="M21" i="10"/>
  <c r="E105" i="13"/>
  <c r="P10" i="9"/>
  <c r="M26" i="10"/>
  <c r="N26" i="10" s="1"/>
  <c r="L26" i="11"/>
  <c r="P11" i="9"/>
  <c r="P46" i="9"/>
  <c r="P51" i="9"/>
  <c r="Q56" i="9"/>
  <c r="P58" i="9"/>
  <c r="D340" i="13"/>
  <c r="P53" i="9"/>
  <c r="P50" i="9"/>
  <c r="P55" i="9"/>
  <c r="P47" i="9"/>
  <c r="Q45" i="9"/>
  <c r="R48" i="9"/>
  <c r="P54" i="9"/>
  <c r="P57" i="9"/>
  <c r="P49" i="9"/>
  <c r="R52" i="9"/>
  <c r="G13" i="8"/>
  <c r="H127" i="13"/>
  <c r="C265" i="13"/>
  <c r="C38" i="13" s="1"/>
  <c r="B4" i="24" s="1"/>
  <c r="D111" i="13"/>
  <c r="D112" i="13"/>
  <c r="C40" i="13"/>
  <c r="B6" i="24" s="1"/>
  <c r="C266" i="13"/>
  <c r="C39" i="13" s="1"/>
  <c r="B5" i="24" s="1"/>
  <c r="W15" i="1"/>
  <c r="H133" i="13"/>
  <c r="H201" i="13"/>
  <c r="H128" i="13"/>
  <c r="G202" i="13"/>
  <c r="G146" i="13" s="1"/>
  <c r="W59" i="1"/>
  <c r="V59" i="1"/>
  <c r="U59" i="1"/>
  <c r="E202" i="13"/>
  <c r="E147" i="13" s="1"/>
  <c r="H198" i="13"/>
  <c r="H200" i="13"/>
  <c r="H196" i="13"/>
  <c r="D202" i="13"/>
  <c r="H192" i="13"/>
  <c r="H188" i="13"/>
  <c r="H140" i="13"/>
  <c r="C202" i="13"/>
  <c r="F202" i="13"/>
  <c r="H194" i="13"/>
  <c r="H190" i="13"/>
  <c r="H186" i="13"/>
  <c r="D362" i="13"/>
  <c r="D360" i="13"/>
  <c r="D355" i="13"/>
  <c r="D334" i="13"/>
  <c r="D332" i="13"/>
  <c r="D330" i="13"/>
  <c r="D319" i="13"/>
  <c r="D305" i="13"/>
  <c r="D303" i="13"/>
  <c r="D284" i="13"/>
  <c r="D282" i="13"/>
  <c r="D301" i="13"/>
  <c r="D16" i="13" l="1"/>
  <c r="P13" i="19"/>
  <c r="D28" i="13"/>
  <c r="B29" i="12"/>
  <c r="F7" i="8" s="1"/>
  <c r="D153" i="13"/>
  <c r="C32" i="24" s="1"/>
  <c r="J48" i="2"/>
  <c r="D157" i="13"/>
  <c r="R45" i="2"/>
  <c r="D13" i="13"/>
  <c r="D61" i="13"/>
  <c r="D62" i="13" s="1"/>
  <c r="E345" i="13"/>
  <c r="E346" i="13" s="1"/>
  <c r="F340" i="13"/>
  <c r="F341" i="13" s="1"/>
  <c r="E77" i="13"/>
  <c r="E78" i="13" s="1"/>
  <c r="D33" i="13"/>
  <c r="AC11" i="23"/>
  <c r="AC6" i="23"/>
  <c r="AC9" i="23"/>
  <c r="H107" i="13"/>
  <c r="G11" i="24" s="1"/>
  <c r="F11" i="24"/>
  <c r="E111" i="13"/>
  <c r="D9" i="24"/>
  <c r="D82" i="13"/>
  <c r="D83" i="13" s="1"/>
  <c r="D15" i="18"/>
  <c r="H15" i="18" s="1"/>
  <c r="G19" i="24"/>
  <c r="G161" i="13"/>
  <c r="F26" i="24"/>
  <c r="E162" i="13"/>
  <c r="D27" i="24"/>
  <c r="D16" i="18"/>
  <c r="H16" i="18" s="1"/>
  <c r="G16" i="24"/>
  <c r="F49" i="13"/>
  <c r="P49" i="10"/>
  <c r="E228" i="13" s="1"/>
  <c r="P50" i="10"/>
  <c r="E232" i="13" s="1"/>
  <c r="E338" i="13"/>
  <c r="E339" i="13" s="1"/>
  <c r="E283" i="13"/>
  <c r="E284" i="13" s="1"/>
  <c r="P47" i="10"/>
  <c r="T47" i="10" s="1"/>
  <c r="E84" i="13"/>
  <c r="E85" i="13" s="1"/>
  <c r="E56" i="13"/>
  <c r="E57" i="13" s="1"/>
  <c r="P55" i="10"/>
  <c r="T55" i="10" s="1"/>
  <c r="Y14" i="9"/>
  <c r="Y9" i="9"/>
  <c r="Y12" i="9"/>
  <c r="Z14" i="9"/>
  <c r="Z9" i="9"/>
  <c r="Z12" i="9"/>
  <c r="D47" i="13"/>
  <c r="D48" i="13" s="1"/>
  <c r="E295" i="13"/>
  <c r="E296" i="13" s="1"/>
  <c r="E91" i="13"/>
  <c r="E92" i="13" s="1"/>
  <c r="Q13" i="9"/>
  <c r="U13" i="9" s="1"/>
  <c r="P12" i="10"/>
  <c r="E29" i="13" s="1"/>
  <c r="E281" i="13"/>
  <c r="P45" i="10"/>
  <c r="E212" i="13" s="1"/>
  <c r="P7" i="10"/>
  <c r="E9" i="13" s="1"/>
  <c r="Q55" i="10"/>
  <c r="N29" i="9"/>
  <c r="E98" i="13"/>
  <c r="E99" i="13" s="1"/>
  <c r="N25" i="12"/>
  <c r="T14" i="9"/>
  <c r="P50" i="12"/>
  <c r="E96" i="13"/>
  <c r="P13" i="10"/>
  <c r="D94" i="13"/>
  <c r="D95" i="13" s="1"/>
  <c r="P14" i="10"/>
  <c r="T14" i="10" s="1"/>
  <c r="L12" i="9"/>
  <c r="D17" i="13"/>
  <c r="E340" i="13"/>
  <c r="E341" i="13" s="1"/>
  <c r="D52" i="13"/>
  <c r="D53" i="13" s="1"/>
  <c r="L13" i="9"/>
  <c r="L9" i="9"/>
  <c r="E318" i="13"/>
  <c r="E319" i="13" s="1"/>
  <c r="Q8" i="9"/>
  <c r="D12" i="13" s="1"/>
  <c r="R9" i="9"/>
  <c r="D15" i="13" s="1"/>
  <c r="G103" i="13"/>
  <c r="D54" i="13"/>
  <c r="D55" i="13" s="1"/>
  <c r="E311" i="13"/>
  <c r="E312" i="13" s="1"/>
  <c r="E297" i="13"/>
  <c r="E298" i="13" s="1"/>
  <c r="E354" i="13"/>
  <c r="E355" i="13" s="1"/>
  <c r="E347" i="13"/>
  <c r="E348" i="13" s="1"/>
  <c r="N15" i="1"/>
  <c r="N16" i="1" s="1"/>
  <c r="N30" i="1" s="1"/>
  <c r="V12" i="9"/>
  <c r="D27" i="13"/>
  <c r="T12" i="9"/>
  <c r="D80" i="13"/>
  <c r="D81" i="13" s="1"/>
  <c r="D36" i="13"/>
  <c r="H106" i="13"/>
  <c r="G10" i="24" s="1"/>
  <c r="Q7" i="9"/>
  <c r="U7" i="9" s="1"/>
  <c r="R14" i="9"/>
  <c r="V14" i="9" s="1"/>
  <c r="Q11" i="10"/>
  <c r="N59" i="1"/>
  <c r="E309" i="13"/>
  <c r="E310" i="13" s="1"/>
  <c r="D208" i="13"/>
  <c r="Q44" i="9"/>
  <c r="E49" i="13"/>
  <c r="E50" i="13" s="1"/>
  <c r="D9" i="13"/>
  <c r="E112" i="13"/>
  <c r="T8" i="10"/>
  <c r="E13" i="13"/>
  <c r="Q8" i="10"/>
  <c r="U8" i="10" s="1"/>
  <c r="E54" i="13"/>
  <c r="E55" i="13" s="1"/>
  <c r="Q54" i="10"/>
  <c r="Q57" i="10"/>
  <c r="E366" i="13"/>
  <c r="E367" i="13" s="1"/>
  <c r="Q58" i="10"/>
  <c r="E373" i="13"/>
  <c r="E374" i="13" s="1"/>
  <c r="Q47" i="10"/>
  <c r="Q53" i="10"/>
  <c r="E82" i="13"/>
  <c r="P9" i="10"/>
  <c r="E63" i="13"/>
  <c r="T10" i="9"/>
  <c r="D21" i="13"/>
  <c r="L21" i="12"/>
  <c r="M21" i="11"/>
  <c r="N21" i="11" s="1"/>
  <c r="F105" i="13"/>
  <c r="E9" i="24" s="1"/>
  <c r="P54" i="11"/>
  <c r="P11" i="11"/>
  <c r="F77" i="13"/>
  <c r="T54" i="10"/>
  <c r="E248" i="13"/>
  <c r="P51" i="11"/>
  <c r="F325" i="13"/>
  <c r="F326" i="13" s="1"/>
  <c r="P8" i="11"/>
  <c r="F56" i="13"/>
  <c r="P44" i="11"/>
  <c r="F276" i="13"/>
  <c r="P48" i="10"/>
  <c r="E304" i="13"/>
  <c r="T53" i="10"/>
  <c r="E244" i="13"/>
  <c r="E264" i="13"/>
  <c r="T58" i="10"/>
  <c r="E260" i="13"/>
  <c r="T57" i="10"/>
  <c r="P49" i="11"/>
  <c r="F311" i="13"/>
  <c r="P50" i="11"/>
  <c r="P47" i="11"/>
  <c r="F297" i="13"/>
  <c r="M26" i="11"/>
  <c r="N26" i="11"/>
  <c r="L26" i="12"/>
  <c r="F108" i="13"/>
  <c r="E12" i="24" s="1"/>
  <c r="P46" i="11"/>
  <c r="F290" i="13"/>
  <c r="F291" i="13" s="1"/>
  <c r="Q44" i="10"/>
  <c r="E274" i="13"/>
  <c r="L44" i="10"/>
  <c r="P45" i="11"/>
  <c r="F283" i="13"/>
  <c r="P56" i="10"/>
  <c r="E361" i="13"/>
  <c r="T11" i="10"/>
  <c r="E25" i="13"/>
  <c r="E119" i="13"/>
  <c r="P51" i="10"/>
  <c r="E325" i="13"/>
  <c r="P12" i="11"/>
  <c r="F84" i="13"/>
  <c r="P10" i="10"/>
  <c r="E70" i="13"/>
  <c r="P7" i="11"/>
  <c r="P52" i="10"/>
  <c r="E333" i="13"/>
  <c r="Q45" i="10"/>
  <c r="L45" i="10"/>
  <c r="P57" i="11"/>
  <c r="F368" i="13"/>
  <c r="E120" i="13"/>
  <c r="P53" i="11"/>
  <c r="Q10" i="9"/>
  <c r="L10" i="9"/>
  <c r="D68" i="13"/>
  <c r="N29" i="10"/>
  <c r="T44" i="10"/>
  <c r="E208" i="13"/>
  <c r="P55" i="11"/>
  <c r="F354" i="13"/>
  <c r="F347" i="13"/>
  <c r="P46" i="10"/>
  <c r="E290" i="13"/>
  <c r="M23" i="11"/>
  <c r="N23" i="11" s="1"/>
  <c r="X4" i="23" s="1"/>
  <c r="F102" i="13"/>
  <c r="E7" i="24" s="1"/>
  <c r="P58" i="11"/>
  <c r="F375" i="13"/>
  <c r="Q57" i="9"/>
  <c r="L57" i="10"/>
  <c r="D366" i="13"/>
  <c r="D248" i="13"/>
  <c r="T54" i="9"/>
  <c r="Q53" i="9"/>
  <c r="D338" i="13"/>
  <c r="R56" i="9"/>
  <c r="D357" i="13"/>
  <c r="D236" i="13"/>
  <c r="T51" i="9"/>
  <c r="D228" i="13"/>
  <c r="T49" i="9"/>
  <c r="D260" i="13"/>
  <c r="T57" i="9"/>
  <c r="D222" i="13"/>
  <c r="V48" i="9"/>
  <c r="M48" i="9" s="1"/>
  <c r="N48" i="9" s="1"/>
  <c r="D211" i="13"/>
  <c r="U45" i="9"/>
  <c r="D252" i="13"/>
  <c r="T55" i="9"/>
  <c r="Q50" i="9"/>
  <c r="D316" i="13"/>
  <c r="D244" i="13"/>
  <c r="T53" i="9"/>
  <c r="Q58" i="9"/>
  <c r="D373" i="13"/>
  <c r="D255" i="13"/>
  <c r="U56" i="9"/>
  <c r="Z11" i="9"/>
  <c r="Q11" i="9"/>
  <c r="D75" i="13"/>
  <c r="Q49" i="9"/>
  <c r="D309" i="13"/>
  <c r="R45" i="9"/>
  <c r="D279" i="13"/>
  <c r="Q47" i="9"/>
  <c r="L47" i="10"/>
  <c r="D295" i="13"/>
  <c r="Q55" i="9"/>
  <c r="D352" i="13"/>
  <c r="D232" i="13"/>
  <c r="T50" i="9"/>
  <c r="D341" i="13"/>
  <c r="D264" i="13"/>
  <c r="T58" i="9"/>
  <c r="Q46" i="9"/>
  <c r="D288" i="13"/>
  <c r="T11" i="9"/>
  <c r="D25" i="13"/>
  <c r="P15" i="9"/>
  <c r="D238" i="13"/>
  <c r="V52" i="9"/>
  <c r="M52" i="9" s="1"/>
  <c r="N52" i="9" s="1"/>
  <c r="R13" i="9"/>
  <c r="L54" i="10"/>
  <c r="Q54" i="9"/>
  <c r="D345" i="13"/>
  <c r="D220" i="13"/>
  <c r="T47" i="9"/>
  <c r="Q51" i="9"/>
  <c r="D323" i="13"/>
  <c r="D216" i="13"/>
  <c r="T46" i="9"/>
  <c r="P59" i="9"/>
  <c r="C118" i="13"/>
  <c r="G147" i="13"/>
  <c r="C268" i="13"/>
  <c r="E146" i="13"/>
  <c r="D26" i="24" s="1"/>
  <c r="C41" i="13"/>
  <c r="C114" i="13" s="1"/>
  <c r="C117" i="13"/>
  <c r="D146" i="13"/>
  <c r="D147" i="13"/>
  <c r="F146" i="13"/>
  <c r="F147" i="13"/>
  <c r="C146" i="13"/>
  <c r="H202" i="13"/>
  <c r="C147" i="13"/>
  <c r="T12" i="10" l="1"/>
  <c r="T50" i="10"/>
  <c r="E220" i="13"/>
  <c r="T49" i="10"/>
  <c r="E252" i="13"/>
  <c r="C36" i="24"/>
  <c r="H157" i="13"/>
  <c r="G36" i="24" s="1"/>
  <c r="D160" i="13"/>
  <c r="E89" i="13"/>
  <c r="E90" i="13" s="1"/>
  <c r="Q13" i="10"/>
  <c r="E32" i="13" s="1"/>
  <c r="AC10" i="23"/>
  <c r="Y7" i="9"/>
  <c r="AC4" i="23"/>
  <c r="AC5" i="23"/>
  <c r="AC7" i="23"/>
  <c r="AC8" i="23"/>
  <c r="H103" i="13"/>
  <c r="G8" i="24" s="1"/>
  <c r="F8" i="24"/>
  <c r="D87" i="13"/>
  <c r="D88" i="13" s="1"/>
  <c r="F161" i="13"/>
  <c r="E26" i="24"/>
  <c r="D162" i="13"/>
  <c r="C27" i="24"/>
  <c r="B27" i="24"/>
  <c r="C161" i="13"/>
  <c r="B26" i="24"/>
  <c r="D161" i="13"/>
  <c r="C26" i="24"/>
  <c r="F162" i="13"/>
  <c r="E27" i="24"/>
  <c r="G162" i="13"/>
  <c r="G163" i="13" s="1"/>
  <c r="F27" i="24"/>
  <c r="F318" i="13"/>
  <c r="F319" i="13" s="1"/>
  <c r="L13" i="11"/>
  <c r="Y47" i="10"/>
  <c r="AD15" i="23" s="1"/>
  <c r="Y54" i="10"/>
  <c r="AD22" i="23" s="1"/>
  <c r="Y57" i="10"/>
  <c r="AD25" i="23" s="1"/>
  <c r="Y45" i="10"/>
  <c r="AD13" i="23" s="1"/>
  <c r="Y44" i="10"/>
  <c r="AD12" i="23" s="1"/>
  <c r="Y13" i="9"/>
  <c r="Y11" i="9"/>
  <c r="Y8" i="9"/>
  <c r="Y10" i="9"/>
  <c r="Z7" i="9"/>
  <c r="Z8" i="9"/>
  <c r="Z10" i="9"/>
  <c r="Z13" i="9"/>
  <c r="L7" i="9"/>
  <c r="T7" i="10"/>
  <c r="E352" i="13"/>
  <c r="E353" i="13" s="1"/>
  <c r="G318" i="13"/>
  <c r="G319" i="13" s="1"/>
  <c r="T45" i="10"/>
  <c r="L55" i="10"/>
  <c r="D32" i="13"/>
  <c r="L14" i="10"/>
  <c r="Y11" i="10"/>
  <c r="AD8" i="23" s="1"/>
  <c r="R13" i="10"/>
  <c r="Q12" i="10"/>
  <c r="E28" i="13" s="1"/>
  <c r="L12" i="10"/>
  <c r="M14" i="9"/>
  <c r="N14" i="9" s="1"/>
  <c r="L50" i="10"/>
  <c r="R49" i="10"/>
  <c r="G34" i="11"/>
  <c r="G35" i="11"/>
  <c r="L7" i="10"/>
  <c r="E47" i="13"/>
  <c r="E48" i="13" s="1"/>
  <c r="Q7" i="10"/>
  <c r="U7" i="10" s="1"/>
  <c r="Q50" i="10"/>
  <c r="E231" i="13" s="1"/>
  <c r="V9" i="9"/>
  <c r="M9" i="9" s="1"/>
  <c r="N9" i="9" s="1"/>
  <c r="E37" i="13"/>
  <c r="D35" i="13"/>
  <c r="Q49" i="10"/>
  <c r="U49" i="10" s="1"/>
  <c r="Q14" i="10"/>
  <c r="U14" i="10" s="1"/>
  <c r="T13" i="10"/>
  <c r="E33" i="13"/>
  <c r="L11" i="10"/>
  <c r="P13" i="11"/>
  <c r="F91" i="13"/>
  <c r="F92" i="13" s="1"/>
  <c r="P14" i="11"/>
  <c r="F98" i="13"/>
  <c r="F99" i="13" s="1"/>
  <c r="L13" i="10"/>
  <c r="R8" i="9"/>
  <c r="U8" i="9"/>
  <c r="L11" i="9"/>
  <c r="L8" i="9"/>
  <c r="H5" i="8"/>
  <c r="M12" i="9"/>
  <c r="N12" i="9" s="1"/>
  <c r="E75" i="13"/>
  <c r="E76" i="13" s="1"/>
  <c r="E316" i="13"/>
  <c r="E317" i="13" s="1"/>
  <c r="L53" i="10"/>
  <c r="D45" i="13"/>
  <c r="D46" i="13" s="1"/>
  <c r="D8" i="13"/>
  <c r="T15" i="9"/>
  <c r="D207" i="13"/>
  <c r="U44" i="9"/>
  <c r="D272" i="13"/>
  <c r="D273" i="13" s="1"/>
  <c r="R44" i="9"/>
  <c r="R7" i="9"/>
  <c r="V7" i="9" s="1"/>
  <c r="R14" i="10"/>
  <c r="Q14" i="11"/>
  <c r="E97" i="13"/>
  <c r="R54" i="10"/>
  <c r="E343" i="13"/>
  <c r="E344" i="13" s="1"/>
  <c r="R47" i="10"/>
  <c r="E293" i="13"/>
  <c r="E294" i="13" s="1"/>
  <c r="R11" i="10"/>
  <c r="R57" i="10"/>
  <c r="E364" i="13"/>
  <c r="E365" i="13" s="1"/>
  <c r="Q51" i="11"/>
  <c r="F323" i="13"/>
  <c r="F324" i="13" s="1"/>
  <c r="F376" i="13"/>
  <c r="F112" i="13"/>
  <c r="P48" i="11"/>
  <c r="F304" i="13"/>
  <c r="F305" i="13" s="1"/>
  <c r="D20" i="13"/>
  <c r="U10" i="9"/>
  <c r="F260" i="13"/>
  <c r="T57" i="11"/>
  <c r="E211" i="13"/>
  <c r="U45" i="10"/>
  <c r="Q52" i="10"/>
  <c r="L52" i="10"/>
  <c r="E331" i="13"/>
  <c r="E71" i="13"/>
  <c r="T12" i="11"/>
  <c r="F29" i="13"/>
  <c r="T51" i="10"/>
  <c r="E236" i="13"/>
  <c r="P55" i="12"/>
  <c r="G347" i="13"/>
  <c r="G348" i="13" s="1"/>
  <c r="G354" i="13"/>
  <c r="G355" i="13" s="1"/>
  <c r="Y47" i="11"/>
  <c r="AE15" i="23" s="1"/>
  <c r="Q47" i="11"/>
  <c r="F295" i="13"/>
  <c r="F296" i="13" s="1"/>
  <c r="F63" i="13"/>
  <c r="F64" i="13" s="1"/>
  <c r="P9" i="11"/>
  <c r="Q49" i="11"/>
  <c r="E305" i="13"/>
  <c r="F277" i="13"/>
  <c r="Y11" i="11"/>
  <c r="AE8" i="23" s="1"/>
  <c r="Q11" i="11"/>
  <c r="F75" i="13"/>
  <c r="F76" i="13" s="1"/>
  <c r="P46" i="12"/>
  <c r="G290" i="13"/>
  <c r="G291" i="13" s="1"/>
  <c r="P47" i="12"/>
  <c r="G297" i="13"/>
  <c r="G298" i="13" s="1"/>
  <c r="E83" i="13"/>
  <c r="F264" i="13"/>
  <c r="T58" i="11"/>
  <c r="E291" i="13"/>
  <c r="F355" i="13"/>
  <c r="P45" i="12"/>
  <c r="G283" i="13"/>
  <c r="G284" i="13" s="1"/>
  <c r="F50" i="13"/>
  <c r="L10" i="10"/>
  <c r="Q10" i="10"/>
  <c r="E68" i="13"/>
  <c r="E69" i="13" s="1"/>
  <c r="F85" i="13"/>
  <c r="E362" i="13"/>
  <c r="F284" i="13"/>
  <c r="R44" i="10"/>
  <c r="E272" i="13"/>
  <c r="F120" i="13"/>
  <c r="Q50" i="11"/>
  <c r="F316" i="13"/>
  <c r="F317" i="13" s="1"/>
  <c r="F228" i="13"/>
  <c r="T49" i="11"/>
  <c r="Q48" i="10"/>
  <c r="L48" i="10"/>
  <c r="E302" i="13"/>
  <c r="F208" i="13"/>
  <c r="T44" i="11"/>
  <c r="P54" i="12"/>
  <c r="F57" i="13"/>
  <c r="P57" i="12"/>
  <c r="G368" i="13"/>
  <c r="G369" i="13" s="1"/>
  <c r="P58" i="12"/>
  <c r="G375" i="13"/>
  <c r="G376" i="13" s="1"/>
  <c r="F25" i="13"/>
  <c r="T11" i="11"/>
  <c r="P56" i="11"/>
  <c r="F361" i="13"/>
  <c r="F362" i="13" s="1"/>
  <c r="M21" i="12"/>
  <c r="N21" i="12" s="1"/>
  <c r="G105" i="13"/>
  <c r="T9" i="10"/>
  <c r="E17" i="13"/>
  <c r="E243" i="13"/>
  <c r="U53" i="10"/>
  <c r="E263" i="13"/>
  <c r="U58" i="10"/>
  <c r="E259" i="13"/>
  <c r="U57" i="10"/>
  <c r="Y58" i="11"/>
  <c r="AE26" i="23" s="1"/>
  <c r="Q58" i="11"/>
  <c r="F373" i="13"/>
  <c r="F374" i="13" s="1"/>
  <c r="M23" i="12"/>
  <c r="N23" i="12" s="1"/>
  <c r="Y4" i="23" s="1"/>
  <c r="G102" i="13"/>
  <c r="F7" i="24" s="1"/>
  <c r="L46" i="10"/>
  <c r="Q46" i="10"/>
  <c r="E288" i="13"/>
  <c r="E289" i="13" s="1"/>
  <c r="F348" i="13"/>
  <c r="F252" i="13"/>
  <c r="T55" i="11"/>
  <c r="D69" i="13"/>
  <c r="Q53" i="11"/>
  <c r="F338" i="13"/>
  <c r="F339" i="13" s="1"/>
  <c r="F369" i="13"/>
  <c r="E282" i="13"/>
  <c r="E334" i="13"/>
  <c r="E21" i="13"/>
  <c r="T10" i="10"/>
  <c r="P12" i="12"/>
  <c r="G84" i="13"/>
  <c r="G85" i="13" s="1"/>
  <c r="E326" i="13"/>
  <c r="E256" i="13"/>
  <c r="T56" i="10"/>
  <c r="P44" i="12"/>
  <c r="G276" i="13"/>
  <c r="G277" i="13" s="1"/>
  <c r="Y45" i="11"/>
  <c r="AE13" i="23" s="1"/>
  <c r="Q45" i="11"/>
  <c r="F281" i="13"/>
  <c r="F282" i="13" s="1"/>
  <c r="E275" i="13"/>
  <c r="P8" i="12"/>
  <c r="G56" i="13"/>
  <c r="G57" i="13" s="1"/>
  <c r="F298" i="13"/>
  <c r="F232" i="13"/>
  <c r="T50" i="11"/>
  <c r="T48" i="10"/>
  <c r="E224" i="13"/>
  <c r="Q44" i="11"/>
  <c r="Y44" i="11"/>
  <c r="AE12" i="23" s="1"/>
  <c r="F274" i="13"/>
  <c r="F275" i="13" s="1"/>
  <c r="P15" i="10"/>
  <c r="T8" i="11"/>
  <c r="F13" i="13"/>
  <c r="G340" i="13"/>
  <c r="P53" i="12"/>
  <c r="P52" i="11"/>
  <c r="F333" i="13"/>
  <c r="F334" i="13" s="1"/>
  <c r="P11" i="12"/>
  <c r="G77" i="13"/>
  <c r="G78" i="13" s="1"/>
  <c r="F248" i="13"/>
  <c r="T54" i="11"/>
  <c r="F111" i="13"/>
  <c r="N29" i="11"/>
  <c r="P51" i="12"/>
  <c r="G325" i="13"/>
  <c r="G326" i="13" s="1"/>
  <c r="Q9" i="10"/>
  <c r="L9" i="10"/>
  <c r="E61" i="13"/>
  <c r="G232" i="13"/>
  <c r="T50" i="12"/>
  <c r="E219" i="13"/>
  <c r="U47" i="10"/>
  <c r="U11" i="10"/>
  <c r="E24" i="13"/>
  <c r="E251" i="13"/>
  <c r="U55" i="10"/>
  <c r="E247" i="13"/>
  <c r="U54" i="10"/>
  <c r="F119" i="13"/>
  <c r="T46" i="10"/>
  <c r="E216" i="13"/>
  <c r="Q55" i="11"/>
  <c r="F352" i="13"/>
  <c r="F353" i="13" s="1"/>
  <c r="P59" i="10"/>
  <c r="D66" i="13"/>
  <c r="R10" i="9"/>
  <c r="F244" i="13"/>
  <c r="T53" i="11"/>
  <c r="Y57" i="11"/>
  <c r="AE25" i="23" s="1"/>
  <c r="Q57" i="11"/>
  <c r="F366" i="13"/>
  <c r="F367" i="13" s="1"/>
  <c r="R45" i="10"/>
  <c r="E279" i="13"/>
  <c r="E280" i="13" s="1"/>
  <c r="T52" i="10"/>
  <c r="E240" i="13"/>
  <c r="P49" i="12"/>
  <c r="G311" i="13"/>
  <c r="G312" i="13" s="1"/>
  <c r="T7" i="11"/>
  <c r="F9" i="13"/>
  <c r="Y12" i="11"/>
  <c r="AE9" i="23" s="1"/>
  <c r="Q12" i="11"/>
  <c r="F82" i="13"/>
  <c r="F83" i="13" s="1"/>
  <c r="Q51" i="10"/>
  <c r="L51" i="10"/>
  <c r="E323" i="13"/>
  <c r="E324" i="13" s="1"/>
  <c r="Q56" i="10"/>
  <c r="L56" i="10"/>
  <c r="E359" i="13"/>
  <c r="F212" i="13"/>
  <c r="T45" i="11"/>
  <c r="U44" i="10"/>
  <c r="E207" i="13"/>
  <c r="F216" i="13"/>
  <c r="T46" i="11"/>
  <c r="M26" i="12"/>
  <c r="G108" i="13"/>
  <c r="F220" i="13"/>
  <c r="T47" i="11"/>
  <c r="F312" i="13"/>
  <c r="P7" i="12"/>
  <c r="G49" i="13"/>
  <c r="G50" i="13" s="1"/>
  <c r="L8" i="11"/>
  <c r="Q8" i="11"/>
  <c r="U8" i="11" s="1"/>
  <c r="F54" i="13"/>
  <c r="F236" i="13"/>
  <c r="T51" i="11"/>
  <c r="P10" i="11"/>
  <c r="F70" i="13"/>
  <c r="F71" i="13" s="1"/>
  <c r="F78" i="13"/>
  <c r="Y54" i="11"/>
  <c r="AE22" i="23" s="1"/>
  <c r="Q54" i="11"/>
  <c r="F345" i="13"/>
  <c r="F346" i="13" s="1"/>
  <c r="E64" i="13"/>
  <c r="D247" i="13"/>
  <c r="U54" i="9"/>
  <c r="D310" i="13"/>
  <c r="U11" i="9"/>
  <c r="D24" i="13"/>
  <c r="R58" i="9"/>
  <c r="D371" i="13"/>
  <c r="D317" i="13"/>
  <c r="Q15" i="9"/>
  <c r="D367" i="13"/>
  <c r="R54" i="9"/>
  <c r="D343" i="13"/>
  <c r="D289" i="13"/>
  <c r="D353" i="13"/>
  <c r="D296" i="13"/>
  <c r="D280" i="13"/>
  <c r="D227" i="13"/>
  <c r="U49" i="9"/>
  <c r="R11" i="9"/>
  <c r="D73" i="13"/>
  <c r="D231" i="13"/>
  <c r="U50" i="9"/>
  <c r="Q59" i="9"/>
  <c r="D267" i="13"/>
  <c r="D339" i="13"/>
  <c r="R57" i="9"/>
  <c r="D364" i="13"/>
  <c r="R51" i="9"/>
  <c r="D321" i="13"/>
  <c r="V13" i="9"/>
  <c r="M13" i="9" s="1"/>
  <c r="N13" i="9" s="1"/>
  <c r="D31" i="13"/>
  <c r="R46" i="9"/>
  <c r="D286" i="13"/>
  <c r="R55" i="9"/>
  <c r="D350" i="13"/>
  <c r="R47" i="9"/>
  <c r="D293" i="13"/>
  <c r="D210" i="13"/>
  <c r="V45" i="9"/>
  <c r="M45" i="9" s="1"/>
  <c r="N45" i="9" s="1"/>
  <c r="R49" i="9"/>
  <c r="D307" i="13"/>
  <c r="D76" i="13"/>
  <c r="D374" i="13"/>
  <c r="R50" i="9"/>
  <c r="D314" i="13"/>
  <c r="D358" i="13"/>
  <c r="D243" i="13"/>
  <c r="U53" i="9"/>
  <c r="D259" i="13"/>
  <c r="U57" i="9"/>
  <c r="D324" i="13"/>
  <c r="T59" i="9"/>
  <c r="D235" i="13"/>
  <c r="U51" i="9"/>
  <c r="D346" i="13"/>
  <c r="D215" i="13"/>
  <c r="U46" i="9"/>
  <c r="D251" i="13"/>
  <c r="U55" i="9"/>
  <c r="D219" i="13"/>
  <c r="U47" i="9"/>
  <c r="D263" i="13"/>
  <c r="U58" i="9"/>
  <c r="D254" i="13"/>
  <c r="V56" i="9"/>
  <c r="M56" i="9" s="1"/>
  <c r="N56" i="9" s="1"/>
  <c r="R53" i="9"/>
  <c r="D336" i="13"/>
  <c r="C122" i="13"/>
  <c r="E161" i="13"/>
  <c r="E163" i="13" s="1"/>
  <c r="N16" i="19"/>
  <c r="J16" i="19"/>
  <c r="F16" i="19"/>
  <c r="L16" i="19"/>
  <c r="H16" i="19"/>
  <c r="H147" i="13"/>
  <c r="G27" i="24" s="1"/>
  <c r="H146" i="13"/>
  <c r="G26" i="24" s="1"/>
  <c r="U12" i="10" l="1"/>
  <c r="U13" i="10"/>
  <c r="C39" i="24"/>
  <c r="H160" i="13"/>
  <c r="G39" i="24" s="1"/>
  <c r="M7" i="9"/>
  <c r="N7" i="9" s="1"/>
  <c r="E94" i="13"/>
  <c r="E95" i="13" s="1"/>
  <c r="Y55" i="11"/>
  <c r="AE23" i="23" s="1"/>
  <c r="Y50" i="11"/>
  <c r="AE18" i="23" s="1"/>
  <c r="Q13" i="11"/>
  <c r="U13" i="11" s="1"/>
  <c r="F89" i="13"/>
  <c r="F90" i="13" s="1"/>
  <c r="L49" i="11"/>
  <c r="L50" i="11"/>
  <c r="L11" i="11"/>
  <c r="L57" i="11"/>
  <c r="L58" i="11"/>
  <c r="L54" i="11"/>
  <c r="L45" i="11"/>
  <c r="L44" i="11"/>
  <c r="L47" i="11"/>
  <c r="L14" i="11"/>
  <c r="L12" i="11"/>
  <c r="L55" i="11"/>
  <c r="H108" i="13"/>
  <c r="G12" i="24" s="1"/>
  <c r="F12" i="24"/>
  <c r="H105" i="13"/>
  <c r="G9" i="24" s="1"/>
  <c r="F9" i="24"/>
  <c r="E73" i="13"/>
  <c r="E74" i="13" s="1"/>
  <c r="D163" i="13"/>
  <c r="F163" i="13"/>
  <c r="F12" i="19"/>
  <c r="B15" i="24"/>
  <c r="Y14" i="11"/>
  <c r="AE11" i="23" s="1"/>
  <c r="Y8" i="11"/>
  <c r="AE5" i="23" s="1"/>
  <c r="L14" i="12"/>
  <c r="Y49" i="11"/>
  <c r="AE17" i="23" s="1"/>
  <c r="L58" i="10"/>
  <c r="Y58" i="10"/>
  <c r="AD26" i="23" s="1"/>
  <c r="Y50" i="10"/>
  <c r="AD18" i="23" s="1"/>
  <c r="Y7" i="10"/>
  <c r="AD4" i="23" s="1"/>
  <c r="Y55" i="10"/>
  <c r="AD23" i="23" s="1"/>
  <c r="Y10" i="10"/>
  <c r="AD7" i="23" s="1"/>
  <c r="Y12" i="10"/>
  <c r="AD9" i="23" s="1"/>
  <c r="Y9" i="10"/>
  <c r="AD6" i="23" s="1"/>
  <c r="Y56" i="10"/>
  <c r="AD24" i="23" s="1"/>
  <c r="L8" i="10"/>
  <c r="Y8" i="10"/>
  <c r="AD5" i="23" s="1"/>
  <c r="Y49" i="10"/>
  <c r="AD17" i="23" s="1"/>
  <c r="Y51" i="10"/>
  <c r="AD19" i="23" s="1"/>
  <c r="Y48" i="10"/>
  <c r="AD16" i="23" s="1"/>
  <c r="Y53" i="10"/>
  <c r="AD21" i="23" s="1"/>
  <c r="Y14" i="10"/>
  <c r="AD11" i="23" s="1"/>
  <c r="Y13" i="10"/>
  <c r="AD10" i="23" s="1"/>
  <c r="Y52" i="10"/>
  <c r="AD20" i="23" s="1"/>
  <c r="Y46" i="10"/>
  <c r="AD14" i="23" s="1"/>
  <c r="H318" i="13"/>
  <c r="E227" i="13"/>
  <c r="F309" i="13"/>
  <c r="F310" i="13" s="1"/>
  <c r="E307" i="13"/>
  <c r="E308" i="13" s="1"/>
  <c r="L49" i="10"/>
  <c r="R50" i="10"/>
  <c r="V50" i="10" s="1"/>
  <c r="R55" i="10"/>
  <c r="E250" i="13" s="1"/>
  <c r="E314" i="13"/>
  <c r="E315" i="13" s="1"/>
  <c r="E350" i="13"/>
  <c r="E351" i="13" s="1"/>
  <c r="E87" i="13"/>
  <c r="E88" i="13" s="1"/>
  <c r="E80" i="13"/>
  <c r="E81" i="13" s="1"/>
  <c r="R12" i="10"/>
  <c r="E27" i="13" s="1"/>
  <c r="F96" i="13"/>
  <c r="F97" i="13" s="1"/>
  <c r="U50" i="10"/>
  <c r="E45" i="13"/>
  <c r="E46" i="13" s="1"/>
  <c r="R7" i="10"/>
  <c r="V7" i="10" s="1"/>
  <c r="M7" i="10" s="1"/>
  <c r="N7" i="10" s="1"/>
  <c r="G34" i="12"/>
  <c r="G35" i="12"/>
  <c r="E8" i="13"/>
  <c r="Q7" i="11"/>
  <c r="U7" i="11" s="1"/>
  <c r="L7" i="11"/>
  <c r="F47" i="13"/>
  <c r="F48" i="13" s="1"/>
  <c r="R58" i="10"/>
  <c r="V58" i="10" s="1"/>
  <c r="E36" i="13"/>
  <c r="Q14" i="12"/>
  <c r="U14" i="12" s="1"/>
  <c r="T14" i="11"/>
  <c r="F37" i="13"/>
  <c r="L53" i="11"/>
  <c r="R53" i="10"/>
  <c r="V53" i="10" s="1"/>
  <c r="P15" i="11"/>
  <c r="T13" i="11"/>
  <c r="F33" i="13"/>
  <c r="R14" i="12"/>
  <c r="P14" i="12"/>
  <c r="G98" i="13"/>
  <c r="P13" i="12"/>
  <c r="G91" i="13"/>
  <c r="Q46" i="12"/>
  <c r="R8" i="10"/>
  <c r="E52" i="13"/>
  <c r="E53" i="13" s="1"/>
  <c r="E371" i="13"/>
  <c r="E372" i="13" s="1"/>
  <c r="V8" i="9"/>
  <c r="M8" i="9" s="1"/>
  <c r="N8" i="9" s="1"/>
  <c r="D11" i="13"/>
  <c r="E336" i="13"/>
  <c r="E337" i="13" s="1"/>
  <c r="V44" i="9"/>
  <c r="M44" i="9" s="1"/>
  <c r="N44" i="9" s="1"/>
  <c r="D206" i="13"/>
  <c r="D7" i="13"/>
  <c r="T15" i="10"/>
  <c r="U15" i="9"/>
  <c r="H77" i="13"/>
  <c r="H232" i="13"/>
  <c r="H283" i="13"/>
  <c r="H347" i="13"/>
  <c r="Q15" i="10"/>
  <c r="R15" i="9"/>
  <c r="H297" i="13"/>
  <c r="N26" i="12"/>
  <c r="N29" i="12" s="1"/>
  <c r="H368" i="13"/>
  <c r="H311" i="13"/>
  <c r="T59" i="10"/>
  <c r="H290" i="13"/>
  <c r="Q59" i="10"/>
  <c r="U14" i="11"/>
  <c r="F36" i="13"/>
  <c r="V14" i="10"/>
  <c r="M14" i="10" s="1"/>
  <c r="N14" i="10" s="1"/>
  <c r="E35" i="13"/>
  <c r="H354" i="13"/>
  <c r="R14" i="11"/>
  <c r="F94" i="13"/>
  <c r="R8" i="11"/>
  <c r="F52" i="13"/>
  <c r="E235" i="13"/>
  <c r="U51" i="10"/>
  <c r="R12" i="11"/>
  <c r="F80" i="13"/>
  <c r="F81" i="13" s="1"/>
  <c r="R49" i="12"/>
  <c r="Q49" i="12"/>
  <c r="G309" i="13"/>
  <c r="V13" i="10"/>
  <c r="M13" i="10" s="1"/>
  <c r="N13" i="10" s="1"/>
  <c r="E31" i="13"/>
  <c r="E62" i="13"/>
  <c r="F240" i="13"/>
  <c r="T52" i="11"/>
  <c r="R44" i="11"/>
  <c r="F272" i="13"/>
  <c r="F273" i="13" s="1"/>
  <c r="Y8" i="12"/>
  <c r="AF5" i="23" s="1"/>
  <c r="Q8" i="12"/>
  <c r="U8" i="12" s="1"/>
  <c r="G54" i="13"/>
  <c r="G55" i="13" s="1"/>
  <c r="R45" i="11"/>
  <c r="F279" i="13"/>
  <c r="Y44" i="12"/>
  <c r="AF12" i="23" s="1"/>
  <c r="AG12" i="23" s="1"/>
  <c r="Q44" i="12"/>
  <c r="G274" i="13"/>
  <c r="G275" i="13" s="1"/>
  <c r="H325" i="13"/>
  <c r="G29" i="13"/>
  <c r="H29" i="13" s="1"/>
  <c r="T12" i="12"/>
  <c r="U53" i="11"/>
  <c r="F243" i="13"/>
  <c r="G112" i="13"/>
  <c r="H112" i="13" s="1"/>
  <c r="F256" i="13"/>
  <c r="T56" i="11"/>
  <c r="G248" i="13"/>
  <c r="H248" i="13" s="1"/>
  <c r="T54" i="12"/>
  <c r="E303" i="13"/>
  <c r="R50" i="11"/>
  <c r="F314" i="13"/>
  <c r="F315" i="13" s="1"/>
  <c r="E206" i="13"/>
  <c r="V44" i="10"/>
  <c r="M44" i="10" s="1"/>
  <c r="N44" i="10" s="1"/>
  <c r="R10" i="10"/>
  <c r="E66" i="13"/>
  <c r="E67" i="13" s="1"/>
  <c r="P48" i="12"/>
  <c r="G304" i="13"/>
  <c r="U47" i="11"/>
  <c r="F219" i="13"/>
  <c r="E239" i="13"/>
  <c r="U52" i="10"/>
  <c r="F235" i="13"/>
  <c r="U51" i="11"/>
  <c r="V11" i="10"/>
  <c r="M11" i="10" s="1"/>
  <c r="N11" i="10" s="1"/>
  <c r="E23" i="13"/>
  <c r="E218" i="13"/>
  <c r="V47" i="10"/>
  <c r="M47" i="10" s="1"/>
  <c r="N47" i="10" s="1"/>
  <c r="U54" i="11"/>
  <c r="F247" i="13"/>
  <c r="P56" i="12"/>
  <c r="G361" i="13"/>
  <c r="G362" i="13" s="1"/>
  <c r="T7" i="12"/>
  <c r="G9" i="13"/>
  <c r="H9" i="13" s="1"/>
  <c r="E360" i="13"/>
  <c r="G228" i="13"/>
  <c r="H228" i="13" s="1"/>
  <c r="T49" i="12"/>
  <c r="F259" i="13"/>
  <c r="U57" i="11"/>
  <c r="V10" i="9"/>
  <c r="M10" i="9" s="1"/>
  <c r="N10" i="9" s="1"/>
  <c r="D19" i="13"/>
  <c r="U55" i="11"/>
  <c r="F251" i="13"/>
  <c r="R9" i="10"/>
  <c r="E59" i="13"/>
  <c r="Q51" i="12"/>
  <c r="G323" i="13"/>
  <c r="T11" i="12"/>
  <c r="G25" i="13"/>
  <c r="H25" i="13" s="1"/>
  <c r="Y52" i="11"/>
  <c r="AE20" i="23" s="1"/>
  <c r="Q52" i="11"/>
  <c r="F331" i="13"/>
  <c r="F332" i="13" s="1"/>
  <c r="Y53" i="12"/>
  <c r="AF21" i="23" s="1"/>
  <c r="Q53" i="12"/>
  <c r="G338" i="13"/>
  <c r="U44" i="11"/>
  <c r="F207" i="13"/>
  <c r="T44" i="12"/>
  <c r="G208" i="13"/>
  <c r="H208" i="13" s="1"/>
  <c r="R53" i="11"/>
  <c r="E215" i="13"/>
  <c r="U46" i="10"/>
  <c r="G119" i="13"/>
  <c r="H119" i="13" s="1"/>
  <c r="U58" i="11"/>
  <c r="F263" i="13"/>
  <c r="Y56" i="11"/>
  <c r="AE24" i="23" s="1"/>
  <c r="Q56" i="11"/>
  <c r="F359" i="13"/>
  <c r="F360" i="13" s="1"/>
  <c r="R57" i="12"/>
  <c r="Q57" i="12"/>
  <c r="G366" i="13"/>
  <c r="R48" i="10"/>
  <c r="E300" i="13"/>
  <c r="H49" i="13"/>
  <c r="Y47" i="12"/>
  <c r="AF15" i="23" s="1"/>
  <c r="AG15" i="23" s="1"/>
  <c r="Q47" i="12"/>
  <c r="G295" i="13"/>
  <c r="H276" i="13"/>
  <c r="T9" i="11"/>
  <c r="F17" i="13"/>
  <c r="R47" i="11"/>
  <c r="F293" i="13"/>
  <c r="F294" i="13" s="1"/>
  <c r="Y55" i="12"/>
  <c r="AF23" i="23" s="1"/>
  <c r="Q55" i="12"/>
  <c r="G352" i="13"/>
  <c r="H375" i="13"/>
  <c r="R54" i="11"/>
  <c r="F343" i="13"/>
  <c r="F344" i="13" s="1"/>
  <c r="Y10" i="11"/>
  <c r="AE7" i="23" s="1"/>
  <c r="F68" i="13"/>
  <c r="Q10" i="11"/>
  <c r="F55" i="13"/>
  <c r="G120" i="13"/>
  <c r="H120" i="13" s="1"/>
  <c r="R56" i="10"/>
  <c r="E357" i="13"/>
  <c r="V45" i="10"/>
  <c r="M45" i="10" s="1"/>
  <c r="N45" i="10" s="1"/>
  <c r="E210" i="13"/>
  <c r="R57" i="11"/>
  <c r="F364" i="13"/>
  <c r="F365" i="13" s="1"/>
  <c r="G364" i="13"/>
  <c r="G365" i="13" s="1"/>
  <c r="D67" i="13"/>
  <c r="R55" i="11"/>
  <c r="E16" i="13"/>
  <c r="U9" i="10"/>
  <c r="G236" i="13"/>
  <c r="T51" i="12"/>
  <c r="Y11" i="12"/>
  <c r="AF8" i="23" s="1"/>
  <c r="AG8" i="23" s="1"/>
  <c r="G75" i="13"/>
  <c r="Q11" i="12"/>
  <c r="T53" i="12"/>
  <c r="G244" i="13"/>
  <c r="H244" i="13" s="1"/>
  <c r="P9" i="12"/>
  <c r="G63" i="13"/>
  <c r="T8" i="12"/>
  <c r="G13" i="13"/>
  <c r="H13" i="13" s="1"/>
  <c r="R46" i="10"/>
  <c r="E286" i="13"/>
  <c r="E287" i="13" s="1"/>
  <c r="R58" i="11"/>
  <c r="F371" i="13"/>
  <c r="F372" i="13" s="1"/>
  <c r="Y50" i="12"/>
  <c r="AF18" i="23" s="1"/>
  <c r="Q50" i="12"/>
  <c r="G316" i="13"/>
  <c r="G111" i="13"/>
  <c r="H111" i="13" s="1"/>
  <c r="Y58" i="12"/>
  <c r="AF26" i="23" s="1"/>
  <c r="Q58" i="12"/>
  <c r="G373" i="13"/>
  <c r="G260" i="13"/>
  <c r="H260" i="13" s="1"/>
  <c r="T57" i="12"/>
  <c r="P59" i="11"/>
  <c r="E223" i="13"/>
  <c r="U48" i="10"/>
  <c r="Y45" i="12"/>
  <c r="AF13" i="23" s="1"/>
  <c r="AG13" i="23" s="1"/>
  <c r="Q45" i="12"/>
  <c r="G281" i="13"/>
  <c r="G282" i="13" s="1"/>
  <c r="G220" i="13"/>
  <c r="H220" i="13" s="1"/>
  <c r="T47" i="12"/>
  <c r="G216" i="13"/>
  <c r="H216" i="13" s="1"/>
  <c r="T46" i="12"/>
  <c r="U11" i="11"/>
  <c r="F24" i="13"/>
  <c r="R49" i="11"/>
  <c r="F307" i="13"/>
  <c r="F308" i="13" s="1"/>
  <c r="G307" i="13"/>
  <c r="G308" i="13" s="1"/>
  <c r="Y9" i="11"/>
  <c r="AE6" i="23" s="1"/>
  <c r="Q9" i="11"/>
  <c r="F61" i="13"/>
  <c r="F62" i="13" s="1"/>
  <c r="G252" i="13"/>
  <c r="H252" i="13" s="1"/>
  <c r="T55" i="12"/>
  <c r="E267" i="13"/>
  <c r="E40" i="13" s="1"/>
  <c r="D6" i="24" s="1"/>
  <c r="E332" i="13"/>
  <c r="F224" i="13"/>
  <c r="T48" i="11"/>
  <c r="V49" i="10"/>
  <c r="M49" i="10" s="1"/>
  <c r="N49" i="10" s="1"/>
  <c r="E226" i="13"/>
  <c r="V54" i="10"/>
  <c r="M54" i="10" s="1"/>
  <c r="N54" i="10" s="1"/>
  <c r="E246" i="13"/>
  <c r="U59" i="9"/>
  <c r="T10" i="11"/>
  <c r="F21" i="13"/>
  <c r="P52" i="12"/>
  <c r="G333" i="13"/>
  <c r="G334" i="13" s="1"/>
  <c r="E255" i="13"/>
  <c r="U56" i="10"/>
  <c r="R51" i="10"/>
  <c r="E321" i="13"/>
  <c r="E322" i="13" s="1"/>
  <c r="F28" i="13"/>
  <c r="U12" i="11"/>
  <c r="G341" i="13"/>
  <c r="H340" i="13"/>
  <c r="Q46" i="11"/>
  <c r="F288" i="13"/>
  <c r="U45" i="11"/>
  <c r="F211" i="13"/>
  <c r="Q12" i="12"/>
  <c r="G82" i="13"/>
  <c r="G83" i="13" s="1"/>
  <c r="R7" i="11"/>
  <c r="G264" i="13"/>
  <c r="H264" i="13" s="1"/>
  <c r="T58" i="12"/>
  <c r="G70" i="13"/>
  <c r="G71" i="13" s="1"/>
  <c r="P10" i="12"/>
  <c r="H56" i="13"/>
  <c r="Y54" i="12"/>
  <c r="AF22" i="23" s="1"/>
  <c r="AG22" i="23" s="1"/>
  <c r="Q54" i="12"/>
  <c r="G345" i="13"/>
  <c r="U50" i="11"/>
  <c r="F231" i="13"/>
  <c r="E273" i="13"/>
  <c r="H84" i="13"/>
  <c r="E20" i="13"/>
  <c r="U10" i="10"/>
  <c r="G212" i="13"/>
  <c r="H212" i="13" s="1"/>
  <c r="T45" i="12"/>
  <c r="R11" i="11"/>
  <c r="F73" i="13"/>
  <c r="F74" i="13" s="1"/>
  <c r="F227" i="13"/>
  <c r="U49" i="11"/>
  <c r="R52" i="10"/>
  <c r="E329" i="13"/>
  <c r="Y48" i="11"/>
  <c r="AE16" i="23" s="1"/>
  <c r="Q48" i="11"/>
  <c r="F302" i="13"/>
  <c r="F303" i="13" s="1"/>
  <c r="H102" i="13"/>
  <c r="G7" i="24" s="1"/>
  <c r="E258" i="13"/>
  <c r="V57" i="10"/>
  <c r="M57" i="10" s="1"/>
  <c r="N57" i="10" s="1"/>
  <c r="D242" i="13"/>
  <c r="V53" i="9"/>
  <c r="M53" i="9" s="1"/>
  <c r="N53" i="9" s="1"/>
  <c r="D315" i="13"/>
  <c r="D226" i="13"/>
  <c r="V49" i="9"/>
  <c r="M49" i="9" s="1"/>
  <c r="N49" i="9" s="1"/>
  <c r="D351" i="13"/>
  <c r="D214" i="13"/>
  <c r="V46" i="9"/>
  <c r="M46" i="9" s="1"/>
  <c r="N46" i="9" s="1"/>
  <c r="V11" i="9"/>
  <c r="M11" i="9" s="1"/>
  <c r="N11" i="9" s="1"/>
  <c r="D23" i="13"/>
  <c r="D262" i="13"/>
  <c r="V58" i="9"/>
  <c r="M58" i="9" s="1"/>
  <c r="N58" i="9" s="1"/>
  <c r="D266" i="13"/>
  <c r="D230" i="13"/>
  <c r="V50" i="9"/>
  <c r="M50" i="9" s="1"/>
  <c r="N50" i="9" s="1"/>
  <c r="D294" i="13"/>
  <c r="D250" i="13"/>
  <c r="V55" i="9"/>
  <c r="M55" i="9" s="1"/>
  <c r="N55" i="9" s="1"/>
  <c r="D365" i="13"/>
  <c r="D218" i="13"/>
  <c r="V47" i="9"/>
  <c r="M47" i="9" s="1"/>
  <c r="N47" i="9" s="1"/>
  <c r="D322" i="13"/>
  <c r="D40" i="13"/>
  <c r="C6" i="24" s="1"/>
  <c r="D344" i="13"/>
  <c r="R59" i="9"/>
  <c r="D258" i="13"/>
  <c r="V57" i="9"/>
  <c r="M57" i="9" s="1"/>
  <c r="N57" i="9" s="1"/>
  <c r="D337" i="13"/>
  <c r="D308" i="13"/>
  <c r="D287" i="13"/>
  <c r="D234" i="13"/>
  <c r="V51" i="9"/>
  <c r="M51" i="9" s="1"/>
  <c r="N51" i="9" s="1"/>
  <c r="D74" i="13"/>
  <c r="D246" i="13"/>
  <c r="V54" i="9"/>
  <c r="M54" i="9" s="1"/>
  <c r="N54" i="9" s="1"/>
  <c r="D372" i="13"/>
  <c r="F11" i="19"/>
  <c r="C124" i="13"/>
  <c r="D18" i="18"/>
  <c r="H18" i="18" s="1"/>
  <c r="P16" i="19"/>
  <c r="H161" i="13"/>
  <c r="R12" i="12" l="1"/>
  <c r="G80" i="13"/>
  <c r="G81" i="13" s="1"/>
  <c r="G96" i="13"/>
  <c r="G97" i="13" s="1"/>
  <c r="F32" i="13"/>
  <c r="F350" i="13"/>
  <c r="F351" i="13" s="1"/>
  <c r="G286" i="13"/>
  <c r="G287" i="13" s="1"/>
  <c r="R13" i="11"/>
  <c r="V13" i="11" s="1"/>
  <c r="Y13" i="11"/>
  <c r="AE10" i="23" s="1"/>
  <c r="F87" i="13"/>
  <c r="F88" i="13" s="1"/>
  <c r="M13" i="11"/>
  <c r="N13" i="11" s="1"/>
  <c r="L58" i="12"/>
  <c r="L49" i="12"/>
  <c r="L10" i="11"/>
  <c r="L44" i="12"/>
  <c r="L46" i="12"/>
  <c r="L55" i="12"/>
  <c r="L50" i="12"/>
  <c r="L48" i="11"/>
  <c r="L56" i="11"/>
  <c r="L54" i="12"/>
  <c r="L12" i="12"/>
  <c r="L9" i="11"/>
  <c r="L53" i="12"/>
  <c r="Y51" i="11"/>
  <c r="AE19" i="23" s="1"/>
  <c r="L51" i="11"/>
  <c r="Y14" i="12"/>
  <c r="AF11" i="23" s="1"/>
  <c r="AG11" i="23" s="1"/>
  <c r="L46" i="11"/>
  <c r="L57" i="12"/>
  <c r="L52" i="11"/>
  <c r="L47" i="12"/>
  <c r="L45" i="12"/>
  <c r="L11" i="12"/>
  <c r="V12" i="10"/>
  <c r="M12" i="10" s="1"/>
  <c r="N12" i="10" s="1"/>
  <c r="AG5" i="23"/>
  <c r="AG18" i="23"/>
  <c r="AG26" i="23"/>
  <c r="AG23" i="23"/>
  <c r="Y53" i="11"/>
  <c r="AE21" i="23" s="1"/>
  <c r="AG21" i="23" s="1"/>
  <c r="Y7" i="11"/>
  <c r="AE4" i="23" s="1"/>
  <c r="Y46" i="11"/>
  <c r="AE14" i="23" s="1"/>
  <c r="L8" i="12"/>
  <c r="Y49" i="12"/>
  <c r="AF17" i="23" s="1"/>
  <c r="AG17" i="23" s="1"/>
  <c r="Y46" i="12"/>
  <c r="AF14" i="23" s="1"/>
  <c r="L7" i="12"/>
  <c r="Y57" i="12"/>
  <c r="AF25" i="23" s="1"/>
  <c r="AG25" i="23" s="1"/>
  <c r="Y12" i="12"/>
  <c r="AF9" i="23" s="1"/>
  <c r="AG9" i="23" s="1"/>
  <c r="E230" i="13"/>
  <c r="V55" i="10"/>
  <c r="M55" i="10" s="1"/>
  <c r="N55" i="10" s="1"/>
  <c r="E242" i="13"/>
  <c r="E262" i="13"/>
  <c r="M50" i="10"/>
  <c r="N50" i="10" s="1"/>
  <c r="E7" i="13"/>
  <c r="G36" i="13"/>
  <c r="H36" i="13" s="1"/>
  <c r="F45" i="13"/>
  <c r="F46" i="13" s="1"/>
  <c r="G47" i="13"/>
  <c r="G48" i="13" s="1"/>
  <c r="Q7" i="12"/>
  <c r="U7" i="12" s="1"/>
  <c r="F8" i="13"/>
  <c r="G288" i="13"/>
  <c r="G289" i="13" s="1"/>
  <c r="F336" i="13"/>
  <c r="F337" i="13" s="1"/>
  <c r="T13" i="12"/>
  <c r="G33" i="13"/>
  <c r="H33" i="13" s="1"/>
  <c r="G89" i="13"/>
  <c r="Q13" i="12"/>
  <c r="Y13" i="12"/>
  <c r="AF10" i="23" s="1"/>
  <c r="G99" i="13"/>
  <c r="H98" i="13"/>
  <c r="G94" i="13"/>
  <c r="G95" i="13" s="1"/>
  <c r="G92" i="13"/>
  <c r="H91" i="13"/>
  <c r="T14" i="12"/>
  <c r="G37" i="13"/>
  <c r="H37" i="13" s="1"/>
  <c r="M53" i="10"/>
  <c r="N53" i="10" s="1"/>
  <c r="M58" i="10"/>
  <c r="N58" i="10" s="1"/>
  <c r="E12" i="13"/>
  <c r="E11" i="13"/>
  <c r="V8" i="10"/>
  <c r="M8" i="10" s="1"/>
  <c r="N8" i="10" s="1"/>
  <c r="N59" i="9"/>
  <c r="N15" i="9" s="1"/>
  <c r="N16" i="9" s="1"/>
  <c r="Q15" i="11"/>
  <c r="D117" i="13"/>
  <c r="V15" i="9"/>
  <c r="T59" i="11"/>
  <c r="H361" i="13"/>
  <c r="T15" i="11"/>
  <c r="H364" i="13"/>
  <c r="U59" i="10"/>
  <c r="E266" i="13"/>
  <c r="F267" i="13"/>
  <c r="F40" i="13" s="1"/>
  <c r="E6" i="24" s="1"/>
  <c r="U15" i="10"/>
  <c r="G35" i="13"/>
  <c r="V14" i="12"/>
  <c r="M14" i="12" s="1"/>
  <c r="N14" i="12" s="1"/>
  <c r="V59" i="9"/>
  <c r="H307" i="13"/>
  <c r="R59" i="10"/>
  <c r="F95" i="13"/>
  <c r="Q59" i="11"/>
  <c r="H54" i="13"/>
  <c r="V14" i="11"/>
  <c r="M14" i="11" s="1"/>
  <c r="N14" i="11" s="1"/>
  <c r="F35" i="13"/>
  <c r="R46" i="12"/>
  <c r="F23" i="13"/>
  <c r="V11" i="11"/>
  <c r="M11" i="11" s="1"/>
  <c r="N11" i="11" s="1"/>
  <c r="G247" i="13"/>
  <c r="H247" i="13" s="1"/>
  <c r="U54" i="12"/>
  <c r="U12" i="12"/>
  <c r="G28" i="13"/>
  <c r="H28" i="13" s="1"/>
  <c r="E234" i="13"/>
  <c r="V51" i="10"/>
  <c r="M51" i="10" s="1"/>
  <c r="N51" i="10" s="1"/>
  <c r="F16" i="13"/>
  <c r="U9" i="11"/>
  <c r="R45" i="12"/>
  <c r="G279" i="13"/>
  <c r="G280" i="13" s="1"/>
  <c r="R58" i="12"/>
  <c r="G371" i="13"/>
  <c r="G231" i="13"/>
  <c r="H231" i="13" s="1"/>
  <c r="U50" i="12"/>
  <c r="V58" i="11"/>
  <c r="M58" i="11" s="1"/>
  <c r="N58" i="11" s="1"/>
  <c r="F262" i="13"/>
  <c r="G64" i="13"/>
  <c r="H63" i="13"/>
  <c r="G76" i="13"/>
  <c r="H75" i="13"/>
  <c r="U10" i="11"/>
  <c r="F20" i="13"/>
  <c r="R55" i="12"/>
  <c r="G350" i="13"/>
  <c r="F218" i="13"/>
  <c r="V47" i="11"/>
  <c r="M47" i="11" s="1"/>
  <c r="N47" i="11" s="1"/>
  <c r="R47" i="12"/>
  <c r="G293" i="13"/>
  <c r="F242" i="13"/>
  <c r="V53" i="11"/>
  <c r="M53" i="11" s="1"/>
  <c r="N53" i="11" s="1"/>
  <c r="G243" i="13"/>
  <c r="H243" i="13" s="1"/>
  <c r="U53" i="12"/>
  <c r="F239" i="13"/>
  <c r="U52" i="11"/>
  <c r="R56" i="12"/>
  <c r="Q56" i="12"/>
  <c r="G359" i="13"/>
  <c r="G360" i="13" s="1"/>
  <c r="Y48" i="12"/>
  <c r="AF16" i="23" s="1"/>
  <c r="AG16" i="23" s="1"/>
  <c r="Q48" i="12"/>
  <c r="G302" i="13"/>
  <c r="G303" i="13" s="1"/>
  <c r="H333" i="13"/>
  <c r="F280" i="13"/>
  <c r="G215" i="13"/>
  <c r="U46" i="12"/>
  <c r="U48" i="11"/>
  <c r="F223" i="13"/>
  <c r="E330" i="13"/>
  <c r="R54" i="12"/>
  <c r="G343" i="13"/>
  <c r="F7" i="13"/>
  <c r="V7" i="11"/>
  <c r="M7" i="11" s="1"/>
  <c r="N7" i="11" s="1"/>
  <c r="V12" i="12"/>
  <c r="G27" i="13"/>
  <c r="F289" i="13"/>
  <c r="Y52" i="12"/>
  <c r="AF20" i="23" s="1"/>
  <c r="AG20" i="23" s="1"/>
  <c r="Q52" i="12"/>
  <c r="G331" i="13"/>
  <c r="R9" i="11"/>
  <c r="F59" i="13"/>
  <c r="F60" i="13" s="1"/>
  <c r="R50" i="12"/>
  <c r="G314" i="13"/>
  <c r="H281" i="13"/>
  <c r="Y9" i="12"/>
  <c r="AF6" i="23" s="1"/>
  <c r="AG6" i="23" s="1"/>
  <c r="Q9" i="12"/>
  <c r="G61" i="13"/>
  <c r="G62" i="13" s="1"/>
  <c r="R11" i="12"/>
  <c r="G73" i="13"/>
  <c r="H236" i="13"/>
  <c r="E358" i="13"/>
  <c r="F69" i="13"/>
  <c r="V54" i="11"/>
  <c r="M54" i="11" s="1"/>
  <c r="N54" i="11" s="1"/>
  <c r="F246" i="13"/>
  <c r="G367" i="13"/>
  <c r="H366" i="13"/>
  <c r="R53" i="12"/>
  <c r="G336" i="13"/>
  <c r="R52" i="11"/>
  <c r="F329" i="13"/>
  <c r="F330" i="13" s="1"/>
  <c r="G324" i="13"/>
  <c r="H323" i="13"/>
  <c r="E60" i="13"/>
  <c r="G256" i="13"/>
  <c r="H256" i="13" s="1"/>
  <c r="T56" i="12"/>
  <c r="G224" i="13"/>
  <c r="H224" i="13" s="1"/>
  <c r="T48" i="12"/>
  <c r="G6" i="8"/>
  <c r="F230" i="13"/>
  <c r="V50" i="11"/>
  <c r="M50" i="11" s="1"/>
  <c r="N50" i="11" s="1"/>
  <c r="U44" i="12"/>
  <c r="G207" i="13"/>
  <c r="H207" i="13" s="1"/>
  <c r="F210" i="13"/>
  <c r="V45" i="11"/>
  <c r="M45" i="11" s="1"/>
  <c r="N45" i="11" s="1"/>
  <c r="V44" i="11"/>
  <c r="M44" i="11" s="1"/>
  <c r="N44" i="11" s="1"/>
  <c r="F206" i="13"/>
  <c r="G310" i="13"/>
  <c r="H309" i="13"/>
  <c r="F27" i="13"/>
  <c r="V12" i="11"/>
  <c r="M12" i="11" s="1"/>
  <c r="N12" i="11" s="1"/>
  <c r="F53" i="13"/>
  <c r="R51" i="11"/>
  <c r="F321" i="13"/>
  <c r="E238" i="13"/>
  <c r="V52" i="10"/>
  <c r="M52" i="10" s="1"/>
  <c r="N52" i="10" s="1"/>
  <c r="T10" i="12"/>
  <c r="G21" i="13"/>
  <c r="H21" i="13" s="1"/>
  <c r="U46" i="11"/>
  <c r="F215" i="13"/>
  <c r="G240" i="13"/>
  <c r="H240" i="13" s="1"/>
  <c r="T52" i="12"/>
  <c r="F226" i="13"/>
  <c r="V49" i="11"/>
  <c r="M49" i="11" s="1"/>
  <c r="N49" i="11" s="1"/>
  <c r="G374" i="13"/>
  <c r="H373" i="13"/>
  <c r="T9" i="12"/>
  <c r="G17" i="13"/>
  <c r="H17" i="13" s="1"/>
  <c r="E254" i="13"/>
  <c r="V56" i="10"/>
  <c r="M56" i="10" s="1"/>
  <c r="N56" i="10" s="1"/>
  <c r="R10" i="11"/>
  <c r="F66" i="13"/>
  <c r="G353" i="13"/>
  <c r="H352" i="13"/>
  <c r="G296" i="13"/>
  <c r="H295" i="13"/>
  <c r="E301" i="13"/>
  <c r="U57" i="12"/>
  <c r="G259" i="13"/>
  <c r="U56" i="11"/>
  <c r="F255" i="13"/>
  <c r="P59" i="12"/>
  <c r="G235" i="13"/>
  <c r="H235" i="13" s="1"/>
  <c r="U51" i="12"/>
  <c r="E15" i="13"/>
  <c r="V9" i="10"/>
  <c r="M9" i="10" s="1"/>
  <c r="N9" i="10" s="1"/>
  <c r="P15" i="12"/>
  <c r="H70" i="13"/>
  <c r="H82" i="13"/>
  <c r="R44" i="12"/>
  <c r="G272" i="13"/>
  <c r="R8" i="12"/>
  <c r="G52" i="13"/>
  <c r="G53" i="13" s="1"/>
  <c r="G227" i="13"/>
  <c r="H227" i="13" s="1"/>
  <c r="U49" i="12"/>
  <c r="R15" i="10"/>
  <c r="V8" i="11"/>
  <c r="M8" i="11" s="1"/>
  <c r="N8" i="11" s="1"/>
  <c r="F11" i="13"/>
  <c r="F12" i="13"/>
  <c r="R48" i="11"/>
  <c r="F300" i="13"/>
  <c r="F301" i="13" s="1"/>
  <c r="G346" i="13"/>
  <c r="H345" i="13"/>
  <c r="Y10" i="12"/>
  <c r="AF7" i="23" s="1"/>
  <c r="AG7" i="23" s="1"/>
  <c r="Q10" i="12"/>
  <c r="G68" i="13"/>
  <c r="G69" i="13" s="1"/>
  <c r="R46" i="11"/>
  <c r="F286" i="13"/>
  <c r="G211" i="13"/>
  <c r="H211" i="13" s="1"/>
  <c r="U45" i="12"/>
  <c r="G263" i="13"/>
  <c r="H263" i="13" s="1"/>
  <c r="U58" i="12"/>
  <c r="G317" i="13"/>
  <c r="H316" i="13"/>
  <c r="E214" i="13"/>
  <c r="V46" i="10"/>
  <c r="M46" i="10" s="1"/>
  <c r="N46" i="10" s="1"/>
  <c r="G24" i="13"/>
  <c r="H24" i="13" s="1"/>
  <c r="U11" i="12"/>
  <c r="V55" i="11"/>
  <c r="M55" i="11" s="1"/>
  <c r="N55" i="11" s="1"/>
  <c r="F250" i="13"/>
  <c r="V57" i="11"/>
  <c r="M57" i="11" s="1"/>
  <c r="N57" i="11" s="1"/>
  <c r="F258" i="13"/>
  <c r="G251" i="13"/>
  <c r="H251" i="13" s="1"/>
  <c r="U55" i="12"/>
  <c r="G219" i="13"/>
  <c r="H219" i="13" s="1"/>
  <c r="U47" i="12"/>
  <c r="E222" i="13"/>
  <c r="V48" i="10"/>
  <c r="M48" i="10" s="1"/>
  <c r="N48" i="10" s="1"/>
  <c r="G258" i="13"/>
  <c r="V57" i="12"/>
  <c r="R56" i="11"/>
  <c r="G357" i="13"/>
  <c r="G358" i="13" s="1"/>
  <c r="F357" i="13"/>
  <c r="F358" i="13" s="1"/>
  <c r="G339" i="13"/>
  <c r="H338" i="13"/>
  <c r="G305" i="13"/>
  <c r="H304" i="13"/>
  <c r="V10" i="10"/>
  <c r="M10" i="10" s="1"/>
  <c r="N10" i="10" s="1"/>
  <c r="E19" i="13"/>
  <c r="H274" i="13"/>
  <c r="G226" i="13"/>
  <c r="V49" i="12"/>
  <c r="D265" i="13"/>
  <c r="D39" i="13"/>
  <c r="C5" i="24" s="1"/>
  <c r="H80" i="13" l="1"/>
  <c r="H96" i="13"/>
  <c r="F31" i="13"/>
  <c r="AG10" i="23"/>
  <c r="Y51" i="12"/>
  <c r="AF19" i="23" s="1"/>
  <c r="AG19" i="23" s="1"/>
  <c r="L51" i="12"/>
  <c r="L56" i="12"/>
  <c r="L9" i="12"/>
  <c r="L48" i="12"/>
  <c r="L10" i="12"/>
  <c r="L13" i="12"/>
  <c r="L52" i="12"/>
  <c r="AG14" i="23"/>
  <c r="G8" i="13"/>
  <c r="H8" i="13" s="1"/>
  <c r="G45" i="13"/>
  <c r="G46" i="13" s="1"/>
  <c r="R7" i="12"/>
  <c r="G7" i="13" s="1"/>
  <c r="H7" i="13" s="1"/>
  <c r="Y7" i="12"/>
  <c r="AF4" i="23" s="1"/>
  <c r="AG4" i="23" s="1"/>
  <c r="Y56" i="12"/>
  <c r="AF24" i="23" s="1"/>
  <c r="AG24" i="23" s="1"/>
  <c r="H288" i="13"/>
  <c r="H47" i="13"/>
  <c r="H94" i="13"/>
  <c r="R13" i="12"/>
  <c r="G87" i="13"/>
  <c r="E39" i="13"/>
  <c r="D5" i="24" s="1"/>
  <c r="U13" i="12"/>
  <c r="G32" i="13"/>
  <c r="H32" i="13" s="1"/>
  <c r="G90" i="13"/>
  <c r="H89" i="13"/>
  <c r="N59" i="10"/>
  <c r="N15" i="10" s="1"/>
  <c r="N16" i="10" s="1"/>
  <c r="M57" i="12"/>
  <c r="N57" i="12" s="1"/>
  <c r="M12" i="12"/>
  <c r="N12" i="12" s="1"/>
  <c r="M49" i="12"/>
  <c r="N49" i="12" s="1"/>
  <c r="I5" i="8"/>
  <c r="N30" i="9"/>
  <c r="J52" i="2" s="1"/>
  <c r="F58" i="2" s="1"/>
  <c r="D118" i="13"/>
  <c r="D122" i="13" s="1"/>
  <c r="H61" i="13"/>
  <c r="F266" i="13"/>
  <c r="F39" i="13" s="1"/>
  <c r="E5" i="24" s="1"/>
  <c r="E117" i="13"/>
  <c r="T15" i="12"/>
  <c r="H35" i="13"/>
  <c r="H359" i="13"/>
  <c r="U15" i="11"/>
  <c r="U59" i="11"/>
  <c r="Q59" i="12"/>
  <c r="V59" i="10"/>
  <c r="E265" i="13"/>
  <c r="E38" i="13" s="1"/>
  <c r="D4" i="24" s="1"/>
  <c r="H258" i="13"/>
  <c r="H302" i="13"/>
  <c r="V15" i="10"/>
  <c r="H215" i="13"/>
  <c r="T59" i="12"/>
  <c r="H226" i="13"/>
  <c r="H27" i="13"/>
  <c r="H357" i="13"/>
  <c r="U9" i="12"/>
  <c r="G16" i="13"/>
  <c r="H16" i="13" s="1"/>
  <c r="G332" i="13"/>
  <c r="H331" i="13"/>
  <c r="G294" i="13"/>
  <c r="H293" i="13"/>
  <c r="U10" i="12"/>
  <c r="G20" i="13"/>
  <c r="H20" i="13" s="1"/>
  <c r="F222" i="13"/>
  <c r="V48" i="11"/>
  <c r="M48" i="11" s="1"/>
  <c r="N48" i="11" s="1"/>
  <c r="H259" i="13"/>
  <c r="F322" i="13"/>
  <c r="H52" i="13"/>
  <c r="G337" i="13"/>
  <c r="H336" i="13"/>
  <c r="G23" i="13"/>
  <c r="H23" i="13" s="1"/>
  <c r="V11" i="12"/>
  <c r="M11" i="12" s="1"/>
  <c r="N11" i="12" s="1"/>
  <c r="R9" i="12"/>
  <c r="G59" i="13"/>
  <c r="G230" i="13"/>
  <c r="H230" i="13" s="1"/>
  <c r="V50" i="12"/>
  <c r="M50" i="12" s="1"/>
  <c r="N50" i="12" s="1"/>
  <c r="G239" i="13"/>
  <c r="H239" i="13" s="1"/>
  <c r="U52" i="12"/>
  <c r="G344" i="13"/>
  <c r="H343" i="13"/>
  <c r="G218" i="13"/>
  <c r="H218" i="13" s="1"/>
  <c r="V47" i="12"/>
  <c r="M47" i="12" s="1"/>
  <c r="N47" i="12" s="1"/>
  <c r="G351" i="13"/>
  <c r="H350" i="13"/>
  <c r="G372" i="13"/>
  <c r="H371" i="13"/>
  <c r="G210" i="13"/>
  <c r="H210" i="13" s="1"/>
  <c r="V45" i="12"/>
  <c r="M45" i="12" s="1"/>
  <c r="N45" i="12" s="1"/>
  <c r="R51" i="12"/>
  <c r="G321" i="13"/>
  <c r="G322" i="13" s="1"/>
  <c r="V10" i="11"/>
  <c r="M10" i="11" s="1"/>
  <c r="N10" i="11" s="1"/>
  <c r="F19" i="13"/>
  <c r="G74" i="13"/>
  <c r="H73" i="13"/>
  <c r="F234" i="13"/>
  <c r="V51" i="11"/>
  <c r="M51" i="11" s="1"/>
  <c r="N51" i="11" s="1"/>
  <c r="G242" i="13"/>
  <c r="H242" i="13" s="1"/>
  <c r="V53" i="12"/>
  <c r="M53" i="12" s="1"/>
  <c r="N53" i="12" s="1"/>
  <c r="H68" i="13"/>
  <c r="R52" i="12"/>
  <c r="G329" i="13"/>
  <c r="R15" i="11"/>
  <c r="G246" i="13"/>
  <c r="H246" i="13" s="1"/>
  <c r="V54" i="12"/>
  <c r="M54" i="12" s="1"/>
  <c r="N54" i="12" s="1"/>
  <c r="H279" i="13"/>
  <c r="G223" i="13"/>
  <c r="H223" i="13" s="1"/>
  <c r="U48" i="12"/>
  <c r="G255" i="13"/>
  <c r="H255" i="13" s="1"/>
  <c r="U56" i="12"/>
  <c r="G250" i="13"/>
  <c r="H250" i="13" s="1"/>
  <c r="V55" i="12"/>
  <c r="M55" i="12" s="1"/>
  <c r="N55" i="12" s="1"/>
  <c r="G262" i="13"/>
  <c r="V58" i="12"/>
  <c r="M58" i="12" s="1"/>
  <c r="N58" i="12" s="1"/>
  <c r="G214" i="13"/>
  <c r="V46" i="12"/>
  <c r="M46" i="12" s="1"/>
  <c r="N46" i="12" s="1"/>
  <c r="V56" i="11"/>
  <c r="M56" i="11" s="1"/>
  <c r="N56" i="11" s="1"/>
  <c r="F254" i="13"/>
  <c r="F214" i="13"/>
  <c r="V46" i="11"/>
  <c r="M46" i="11" s="1"/>
  <c r="N46" i="11" s="1"/>
  <c r="G315" i="13"/>
  <c r="H314" i="13"/>
  <c r="R10" i="12"/>
  <c r="G66" i="13"/>
  <c r="G67" i="13" s="1"/>
  <c r="G273" i="13"/>
  <c r="H272" i="13"/>
  <c r="Q15" i="12"/>
  <c r="F287" i="13"/>
  <c r="H286" i="13"/>
  <c r="G11" i="13"/>
  <c r="H11" i="13" s="1"/>
  <c r="V8" i="12"/>
  <c r="M8" i="12" s="1"/>
  <c r="N8" i="12" s="1"/>
  <c r="G12" i="13"/>
  <c r="H12" i="13" s="1"/>
  <c r="V44" i="12"/>
  <c r="M44" i="12" s="1"/>
  <c r="N44" i="12" s="1"/>
  <c r="G206" i="13"/>
  <c r="H206" i="13" s="1"/>
  <c r="F67" i="13"/>
  <c r="R59" i="11"/>
  <c r="F238" i="13"/>
  <c r="V52" i="11"/>
  <c r="M52" i="11" s="1"/>
  <c r="N52" i="11" s="1"/>
  <c r="G267" i="13"/>
  <c r="V9" i="11"/>
  <c r="M9" i="11" s="1"/>
  <c r="N9" i="11" s="1"/>
  <c r="F15" i="13"/>
  <c r="R48" i="12"/>
  <c r="G300" i="13"/>
  <c r="G301" i="13" s="1"/>
  <c r="G254" i="13"/>
  <c r="V56" i="12"/>
  <c r="D268" i="13"/>
  <c r="D38" i="13"/>
  <c r="C4" i="24" s="1"/>
  <c r="H214" i="13" l="1"/>
  <c r="K4" i="23"/>
  <c r="AH4" i="23"/>
  <c r="H254" i="13"/>
  <c r="H66" i="13"/>
  <c r="H12" i="19"/>
  <c r="C15" i="24"/>
  <c r="V7" i="12"/>
  <c r="M7" i="12" s="1"/>
  <c r="N7" i="12" s="1"/>
  <c r="H45" i="13"/>
  <c r="E41" i="13"/>
  <c r="E114" i="13" s="1"/>
  <c r="J11" i="19" s="1"/>
  <c r="G88" i="13"/>
  <c r="H87" i="13"/>
  <c r="G31" i="13"/>
  <c r="H31" i="13" s="1"/>
  <c r="V13" i="12"/>
  <c r="M13" i="12" s="1"/>
  <c r="N13" i="12" s="1"/>
  <c r="N59" i="11"/>
  <c r="N15" i="11" s="1"/>
  <c r="N16" i="11" s="1"/>
  <c r="M56" i="12"/>
  <c r="N56" i="12" s="1"/>
  <c r="N30" i="10"/>
  <c r="L52" i="2" s="1"/>
  <c r="F59" i="2" s="1"/>
  <c r="J5" i="8"/>
  <c r="E4" i="22"/>
  <c r="D171" i="13"/>
  <c r="H19" i="19" s="1"/>
  <c r="V15" i="11"/>
  <c r="U15" i="12"/>
  <c r="E118" i="13"/>
  <c r="E122" i="13" s="1"/>
  <c r="F117" i="13"/>
  <c r="F265" i="13"/>
  <c r="F38" i="13" s="1"/>
  <c r="V59" i="11"/>
  <c r="R59" i="12"/>
  <c r="U59" i="12"/>
  <c r="E268" i="13"/>
  <c r="G15" i="13"/>
  <c r="V9" i="12"/>
  <c r="M9" i="12" s="1"/>
  <c r="N9" i="12" s="1"/>
  <c r="V10" i="12"/>
  <c r="M10" i="12" s="1"/>
  <c r="N10" i="12" s="1"/>
  <c r="G19" i="13"/>
  <c r="H19" i="13" s="1"/>
  <c r="G330" i="13"/>
  <c r="H329" i="13"/>
  <c r="G40" i="13"/>
  <c r="H267" i="13"/>
  <c r="H262" i="13"/>
  <c r="G238" i="13"/>
  <c r="V52" i="12"/>
  <c r="M52" i="12" s="1"/>
  <c r="N52" i="12" s="1"/>
  <c r="G234" i="13"/>
  <c r="H234" i="13" s="1"/>
  <c r="V51" i="12"/>
  <c r="M51" i="12" s="1"/>
  <c r="N51" i="12" s="1"/>
  <c r="G60" i="13"/>
  <c r="H59" i="13"/>
  <c r="H300" i="13"/>
  <c r="H321" i="13"/>
  <c r="G266" i="13"/>
  <c r="G222" i="13"/>
  <c r="H222" i="13" s="1"/>
  <c r="V48" i="12"/>
  <c r="M48" i="12" s="1"/>
  <c r="N48" i="12" s="1"/>
  <c r="R15" i="12"/>
  <c r="D41" i="13"/>
  <c r="H40" i="13" l="1"/>
  <c r="G6" i="24" s="1"/>
  <c r="F6" i="24"/>
  <c r="F41" i="13"/>
  <c r="F114" i="13" s="1"/>
  <c r="L11" i="19" s="1"/>
  <c r="E4" i="24"/>
  <c r="J12" i="19"/>
  <c r="D15" i="24"/>
  <c r="E7" i="22"/>
  <c r="E9" i="22" s="1"/>
  <c r="E13" i="22" s="1"/>
  <c r="E15" i="22" s="1"/>
  <c r="N59" i="12"/>
  <c r="N15" i="12" s="1"/>
  <c r="N16" i="12" s="1"/>
  <c r="K5" i="8"/>
  <c r="N30" i="11"/>
  <c r="N52" i="2" s="1"/>
  <c r="F60" i="2" s="1"/>
  <c r="F4" i="22"/>
  <c r="F7" i="22" s="1"/>
  <c r="F9" i="22" s="1"/>
  <c r="E171" i="13"/>
  <c r="J19" i="19" s="1"/>
  <c r="F268" i="13"/>
  <c r="D168" i="13"/>
  <c r="D169" i="13" s="1"/>
  <c r="D167" i="13"/>
  <c r="J58" i="2"/>
  <c r="J62" i="2" s="1"/>
  <c r="E124" i="13"/>
  <c r="V59" i="12"/>
  <c r="G265" i="13"/>
  <c r="G268" i="13" s="1"/>
  <c r="V15" i="12"/>
  <c r="G117" i="13"/>
  <c r="F118" i="13"/>
  <c r="F122" i="13" s="1"/>
  <c r="H238" i="13"/>
  <c r="H266" i="13"/>
  <c r="G39" i="13"/>
  <c r="H15" i="13"/>
  <c r="D114" i="13"/>
  <c r="J18" i="19" l="1"/>
  <c r="H39" i="13"/>
  <c r="G5" i="24" s="1"/>
  <c r="F5" i="24"/>
  <c r="L12" i="19"/>
  <c r="E15" i="24"/>
  <c r="G4" i="22"/>
  <c r="G7" i="22" s="1"/>
  <c r="G9" i="22" s="1"/>
  <c r="F171" i="13"/>
  <c r="L19" i="19" s="1"/>
  <c r="G5" i="8"/>
  <c r="N30" i="12"/>
  <c r="L5" i="8"/>
  <c r="F13" i="22"/>
  <c r="F15" i="22" s="1"/>
  <c r="F17" i="22" s="1"/>
  <c r="E167" i="13"/>
  <c r="E168" i="13"/>
  <c r="E169" i="13" s="1"/>
  <c r="L59" i="2"/>
  <c r="L62" i="2" s="1"/>
  <c r="H268" i="13"/>
  <c r="G118" i="13"/>
  <c r="H118" i="13" s="1"/>
  <c r="D173" i="13"/>
  <c r="J66" i="2"/>
  <c r="E17" i="22"/>
  <c r="G38" i="13"/>
  <c r="H265" i="13"/>
  <c r="F124" i="13"/>
  <c r="H117" i="13"/>
  <c r="H11" i="19"/>
  <c r="D124" i="13"/>
  <c r="H38" i="13" l="1"/>
  <c r="G4" i="24" s="1"/>
  <c r="F4" i="24"/>
  <c r="H20" i="19"/>
  <c r="H22" i="19" s="1"/>
  <c r="C40" i="24"/>
  <c r="C41" i="24" s="1"/>
  <c r="F167" i="13"/>
  <c r="G13" i="22"/>
  <c r="G15" i="22" s="1"/>
  <c r="F168" i="13"/>
  <c r="F169" i="13" s="1"/>
  <c r="N60" i="2"/>
  <c r="N62" i="2" s="1"/>
  <c r="N66" i="2" s="1"/>
  <c r="P52" i="2"/>
  <c r="F61" i="2" s="1"/>
  <c r="G8" i="8"/>
  <c r="E173" i="13"/>
  <c r="L66" i="2"/>
  <c r="G122" i="13"/>
  <c r="D175" i="13"/>
  <c r="D178" i="13" s="1"/>
  <c r="G41" i="13"/>
  <c r="G114" i="13" s="1"/>
  <c r="L18" i="19"/>
  <c r="H18" i="19"/>
  <c r="H122" i="13" l="1"/>
  <c r="F15" i="24"/>
  <c r="J20" i="19"/>
  <c r="J22" i="19" s="1"/>
  <c r="D40" i="24"/>
  <c r="D41" i="24" s="1"/>
  <c r="F173" i="13"/>
  <c r="N12" i="19"/>
  <c r="P12" i="19" s="1"/>
  <c r="E175" i="13"/>
  <c r="E178" i="13" s="1"/>
  <c r="H4" i="22"/>
  <c r="G171" i="13"/>
  <c r="H41" i="13"/>
  <c r="G17" i="22"/>
  <c r="F175" i="13"/>
  <c r="N11" i="19"/>
  <c r="G124" i="13"/>
  <c r="H124" i="13" s="1"/>
  <c r="H114" i="13"/>
  <c r="D13" i="18" s="1"/>
  <c r="D14" i="18" l="1"/>
  <c r="H14" i="18" s="1"/>
  <c r="G15" i="24"/>
  <c r="L20" i="19"/>
  <c r="L22" i="19" s="1"/>
  <c r="E40" i="24"/>
  <c r="E41" i="24" s="1"/>
  <c r="H7" i="22"/>
  <c r="G168" i="13"/>
  <c r="G167" i="13"/>
  <c r="P61" i="2"/>
  <c r="P62" i="2" s="1"/>
  <c r="N19" i="19"/>
  <c r="F178" i="13"/>
  <c r="H13" i="18"/>
  <c r="P11" i="19"/>
  <c r="N18" i="19" l="1"/>
  <c r="G169" i="13"/>
  <c r="P66" i="2"/>
  <c r="G173" i="13"/>
  <c r="F40" i="24" s="1"/>
  <c r="F41" i="24" s="1"/>
  <c r="H9" i="22"/>
  <c r="N20" i="19" l="1"/>
  <c r="H13" i="22"/>
  <c r="G175" i="13"/>
  <c r="H15" i="22" l="1"/>
  <c r="G178" i="13"/>
  <c r="N22" i="19"/>
  <c r="D35" i="18"/>
  <c r="H17" i="22" l="1"/>
  <c r="E35" i="18"/>
  <c r="H35" i="18"/>
  <c r="G35" i="18"/>
  <c r="F35" i="18"/>
  <c r="V4" i="23" l="1"/>
  <c r="U4" i="23"/>
  <c r="C153" i="13"/>
  <c r="B32" i="24" s="1"/>
  <c r="R41" i="2"/>
  <c r="F27" i="8" s="1"/>
  <c r="H48" i="2"/>
  <c r="H52" i="2" s="1"/>
  <c r="F57" i="2" s="1"/>
  <c r="C167" i="13" s="1"/>
  <c r="Z4" i="23" l="1"/>
  <c r="H153" i="13"/>
  <c r="G32" i="24" s="1"/>
  <c r="C162" i="13"/>
  <c r="H162" i="13" s="1"/>
  <c r="R52" i="2"/>
  <c r="K6" i="23"/>
  <c r="D4" i="22"/>
  <c r="C171" i="13"/>
  <c r="R48" i="2"/>
  <c r="G19" i="8" s="1"/>
  <c r="H7" i="23" l="1"/>
  <c r="G7" i="23"/>
  <c r="F7" i="23"/>
  <c r="C163" i="13"/>
  <c r="H163" i="13" s="1"/>
  <c r="D7" i="22"/>
  <c r="I4" i="22"/>
  <c r="E7" i="23"/>
  <c r="D7" i="23"/>
  <c r="G30" i="8"/>
  <c r="H171" i="13"/>
  <c r="D20" i="18" s="1"/>
  <c r="F19" i="19"/>
  <c r="C168" i="13"/>
  <c r="H168" i="13" s="1"/>
  <c r="H57" i="2"/>
  <c r="H62" i="2" s="1"/>
  <c r="H4" i="23" l="1"/>
  <c r="H9" i="23"/>
  <c r="F4" i="23"/>
  <c r="F9" i="23"/>
  <c r="G4" i="23"/>
  <c r="G9" i="23"/>
  <c r="F18" i="19"/>
  <c r="P18" i="19" s="1"/>
  <c r="P19" i="19"/>
  <c r="K3" i="23"/>
  <c r="D4" i="23"/>
  <c r="I7" i="23"/>
  <c r="D9" i="23"/>
  <c r="C169" i="13"/>
  <c r="H169" i="13" s="1"/>
  <c r="E4" i="23"/>
  <c r="E9" i="23"/>
  <c r="R62" i="2"/>
  <c r="G31" i="8" s="1"/>
  <c r="C173" i="13"/>
  <c r="H66" i="2"/>
  <c r="D21" i="18"/>
  <c r="H20" i="18"/>
  <c r="I7" i="22"/>
  <c r="D9" i="22"/>
  <c r="H21" i="18" l="1"/>
  <c r="B48" i="18"/>
  <c r="I9" i="23"/>
  <c r="H13" i="23" s="1"/>
  <c r="H15" i="23" s="1"/>
  <c r="H17" i="23" s="1"/>
  <c r="I9" i="22"/>
  <c r="D13" i="22"/>
  <c r="R66" i="2"/>
  <c r="G32" i="8" s="1"/>
  <c r="C175" i="13"/>
  <c r="B40" i="24"/>
  <c r="B41" i="24" s="1"/>
  <c r="F20" i="19"/>
  <c r="H173" i="13"/>
  <c r="I4" i="23"/>
  <c r="F13" i="23" l="1"/>
  <c r="F15" i="23" s="1"/>
  <c r="F17" i="23" s="1"/>
  <c r="G13" i="23"/>
  <c r="G15" i="23" s="1"/>
  <c r="G17" i="23" s="1"/>
  <c r="D13" i="23"/>
  <c r="E13" i="23"/>
  <c r="E15" i="23" s="1"/>
  <c r="E17" i="23" s="1"/>
  <c r="G40" i="24"/>
  <c r="G41" i="24" s="1"/>
  <c r="D22" i="18"/>
  <c r="C178" i="13"/>
  <c r="H178" i="13" s="1"/>
  <c r="H175" i="13"/>
  <c r="P20" i="19"/>
  <c r="F22" i="19"/>
  <c r="P22" i="19" s="1"/>
  <c r="D15" i="22"/>
  <c r="I13" i="22"/>
  <c r="F48" i="18" l="1"/>
  <c r="H22" i="18"/>
  <c r="D23" i="18"/>
  <c r="G5" i="18" s="1"/>
  <c r="G9" i="18" s="1"/>
  <c r="I15" i="22"/>
  <c r="D17" i="22"/>
  <c r="I17" i="22" s="1"/>
  <c r="D15" i="23"/>
  <c r="I13" i="23"/>
  <c r="H23" i="18" l="1"/>
  <c r="F5" i="18"/>
  <c r="D36" i="18"/>
  <c r="I15" i="23"/>
  <c r="D17" i="23"/>
  <c r="I17" i="23" s="1"/>
  <c r="E36" i="18" l="1"/>
  <c r="E37" i="18" s="1"/>
  <c r="H36" i="18"/>
  <c r="H37" i="18" s="1"/>
  <c r="G36" i="18"/>
  <c r="G37" i="18" s="1"/>
  <c r="F36" i="18"/>
  <c r="F37" i="18" s="1"/>
  <c r="D37" i="18"/>
  <c r="F9" i="18"/>
  <c r="H9" i="18" s="1"/>
  <c r="H5" i="18"/>
</calcChain>
</file>

<file path=xl/sharedStrings.xml><?xml version="1.0" encoding="utf-8"?>
<sst xmlns="http://schemas.openxmlformats.org/spreadsheetml/2006/main" count="1397" uniqueCount="530">
  <si>
    <t>Prefix</t>
  </si>
  <si>
    <t>First</t>
  </si>
  <si>
    <t>Middle</t>
  </si>
  <si>
    <t>Last</t>
  </si>
  <si>
    <t>Suffix</t>
  </si>
  <si>
    <t>A. Senior/Key Person</t>
  </si>
  <si>
    <t>B. Other Personnel</t>
  </si>
  <si>
    <t xml:space="preserve"># </t>
  </si>
  <si>
    <t>Post Doctoral Associates</t>
  </si>
  <si>
    <t>Graduate Students</t>
  </si>
  <si>
    <t>Undergraduate Students</t>
  </si>
  <si>
    <t>Total Number Other Personnel</t>
  </si>
  <si>
    <t>Total Other Personnel</t>
  </si>
  <si>
    <t>Total Salary, Wages and Fringe Benefits (A+B)</t>
  </si>
  <si>
    <t>C. Equipment Description</t>
  </si>
  <si>
    <t>List items and dollar amount for each item exceeding $5000</t>
  </si>
  <si>
    <t>D. Travel</t>
  </si>
  <si>
    <t>Foreign Travel Costs</t>
  </si>
  <si>
    <t>Total Equipment</t>
  </si>
  <si>
    <t>Total Travel Cost</t>
  </si>
  <si>
    <t>E. Participant/Trainee Support Costs</t>
  </si>
  <si>
    <t>Number of Participants/Trainees</t>
  </si>
  <si>
    <t>F. Other Direct Costs</t>
  </si>
  <si>
    <t>Materials and Supplies</t>
  </si>
  <si>
    <t>Publication Costs</t>
  </si>
  <si>
    <t>Consultant Services</t>
  </si>
  <si>
    <t>Subawards/Consortium/Contractual Costs</t>
  </si>
  <si>
    <t>Stipends</t>
  </si>
  <si>
    <t>Travel</t>
  </si>
  <si>
    <t>Subsistence</t>
  </si>
  <si>
    <t>Other</t>
  </si>
  <si>
    <t>Total Other Direct Costs</t>
  </si>
  <si>
    <t>G. Direct Costs</t>
  </si>
  <si>
    <t>Total Indirect Costs</t>
  </si>
  <si>
    <t>Total Senior/Key Personnel</t>
  </si>
  <si>
    <t>Year 1</t>
  </si>
  <si>
    <t>Year 2</t>
  </si>
  <si>
    <t>Year 3</t>
  </si>
  <si>
    <t>Year 4</t>
  </si>
  <si>
    <t>Year 5</t>
  </si>
  <si>
    <t>Total</t>
  </si>
  <si>
    <t>Funds Requested</t>
  </si>
  <si>
    <t>Project Role</t>
  </si>
  <si>
    <t>Base Salary</t>
  </si>
  <si>
    <t>Requested Salary</t>
  </si>
  <si>
    <t>Fringe Benefits</t>
  </si>
  <si>
    <t>TDC</t>
  </si>
  <si>
    <t>SWFB</t>
  </si>
  <si>
    <t>Total Direct Costs (A thru F)</t>
  </si>
  <si>
    <t>Tuition</t>
  </si>
  <si>
    <t>Yr</t>
  </si>
  <si>
    <t>Total Number Senior Key Personnel</t>
  </si>
  <si>
    <t>Total Number for all additional Senior Key Personnel</t>
  </si>
  <si>
    <t>Dr</t>
  </si>
  <si>
    <t>Mr</t>
  </si>
  <si>
    <t>Mrs</t>
  </si>
  <si>
    <t>Ms</t>
  </si>
  <si>
    <t>Prof</t>
  </si>
  <si>
    <t>Rev</t>
  </si>
  <si>
    <t>Total Support Costs</t>
  </si>
  <si>
    <t>Cal Months</t>
  </si>
  <si>
    <t>Acad Months</t>
  </si>
  <si>
    <t>Sum Months</t>
  </si>
  <si>
    <t>Total Funds requested for all additional Senior/Key Personnel</t>
  </si>
  <si>
    <t>Federal</t>
  </si>
  <si>
    <t>Grad Fringe</t>
  </si>
  <si>
    <t>cal</t>
  </si>
  <si>
    <t>acad</t>
  </si>
  <si>
    <t>sum</t>
  </si>
  <si>
    <t>Summer</t>
  </si>
  <si>
    <t>Full</t>
  </si>
  <si>
    <t>Temp</t>
  </si>
  <si>
    <t>Other(Temp, wages)</t>
  </si>
  <si>
    <t>Other Professional</t>
  </si>
  <si>
    <t>Yes</t>
  </si>
  <si>
    <t>Equipment Item</t>
  </si>
  <si>
    <t>Personnel Year 1</t>
  </si>
  <si>
    <t>Syracuse University Sponsored Programs Budget Template</t>
  </si>
  <si>
    <t>Personnel Year 2</t>
  </si>
  <si>
    <t>Personnel Year 3</t>
  </si>
  <si>
    <t>Personnel Year 4</t>
  </si>
  <si>
    <t>Personnel Year 5</t>
  </si>
  <si>
    <t>Non-personnel</t>
  </si>
  <si>
    <t>Budget Summary</t>
  </si>
  <si>
    <t>Total ($)</t>
  </si>
  <si>
    <t>Section A, Senior/Key Person</t>
  </si>
  <si>
    <t>Section B, Other Personnel</t>
  </si>
  <si>
    <t>Section C, Equipment</t>
  </si>
  <si>
    <t>Section D, Travel</t>
  </si>
  <si>
    <t>Domestic</t>
  </si>
  <si>
    <t>Foreign</t>
  </si>
  <si>
    <t>Section E, Participant/Trainee Support Calls</t>
  </si>
  <si>
    <t>Section F, Other Direct Costs</t>
  </si>
  <si>
    <t>Section G, Direct Costs (A thru F)</t>
  </si>
  <si>
    <t>Section H, Indirect Costs</t>
  </si>
  <si>
    <t>Section I, Total Direct and Indirect Costs (G + H)</t>
  </si>
  <si>
    <t>Enter total salary requested for employee category.  Effort months for informational purposes only.</t>
  </si>
  <si>
    <t>PI</t>
  </si>
  <si>
    <t>Co-PI</t>
  </si>
  <si>
    <t>Co-Investigator</t>
  </si>
  <si>
    <t>Fellow</t>
  </si>
  <si>
    <t>Project Director</t>
  </si>
  <si>
    <t>Statistician</t>
  </si>
  <si>
    <t>Escalation Rate</t>
  </si>
  <si>
    <t>Start Date:</t>
  </si>
  <si>
    <t>Roles</t>
  </si>
  <si>
    <t>F&amp;A Rate</t>
  </si>
  <si>
    <t>Base</t>
  </si>
  <si>
    <t>Sal</t>
  </si>
  <si>
    <t>Sponsor Type</t>
  </si>
  <si>
    <t>Duration</t>
  </si>
  <si>
    <t>First Year Rate</t>
  </si>
  <si>
    <t>Tuition Rate</t>
  </si>
  <si>
    <t>Enter Other Rate if applicable</t>
  </si>
  <si>
    <t>F&amp;A Rate (%)</t>
  </si>
  <si>
    <t>F&amp;A Base ($)</t>
  </si>
  <si>
    <t>F&amp;A Type</t>
  </si>
  <si>
    <t>H. Facilities and Administration Costs (i.e. Indirect Costs)</t>
  </si>
  <si>
    <t>I. Total Direct and F&amp;A Costs</t>
  </si>
  <si>
    <t>Total Direct and F&amp;A Costs (G+H)</t>
  </si>
  <si>
    <t>year 1</t>
  </si>
  <si>
    <t>year 2</t>
  </si>
  <si>
    <t>year 3</t>
  </si>
  <si>
    <t>Project Duration</t>
  </si>
  <si>
    <t>Year(s)</t>
  </si>
  <si>
    <t>Domestic Travel Costs(Incl. Canada, Mexico and U.S. Possessions)</t>
  </si>
  <si>
    <t>Principal Investigator:</t>
  </si>
  <si>
    <t>BUDGET CATEGORY</t>
  </si>
  <si>
    <t>A.  SENIOR PERSONNEL</t>
  </si>
  <si>
    <t>OSA Code</t>
  </si>
  <si>
    <t>Academic</t>
  </si>
  <si>
    <t>Calendar</t>
  </si>
  <si>
    <t>TOTAL SENIOR SUMMER</t>
  </si>
  <si>
    <t>PROFSM</t>
  </si>
  <si>
    <t>TOTAL SENIOR ACADEMIC</t>
  </si>
  <si>
    <t>PROFAY</t>
  </si>
  <si>
    <t>TOTAL SENIOR CALENDAR</t>
  </si>
  <si>
    <t>TOTAL SENIOR PERSONNEL</t>
  </si>
  <si>
    <t>Investigator Pending Effort</t>
  </si>
  <si>
    <t>Summer Mos.</t>
  </si>
  <si>
    <t>Summ % Effort</t>
  </si>
  <si>
    <t>Academic Mos.</t>
  </si>
  <si>
    <t>Acad % Effort</t>
  </si>
  <si>
    <t>Calendar Mos.</t>
  </si>
  <si>
    <t>Cal % Effort</t>
  </si>
  <si>
    <t>B.  OTHER PERSONNEL</t>
  </si>
  <si>
    <t xml:space="preserve">   1)  Graduate Student(s) </t>
  </si>
  <si>
    <t>GRADST</t>
  </si>
  <si>
    <t>CLERK</t>
  </si>
  <si>
    <t>3)  Other</t>
  </si>
  <si>
    <t>a)  Postdoctorate</t>
  </si>
  <si>
    <t>b)  Undergraduate Student(s)</t>
  </si>
  <si>
    <t>c)  Other Professionals (Tech.)</t>
  </si>
  <si>
    <t>d)  Other (hourly)</t>
  </si>
  <si>
    <t>OTHER PERSONNEL (B-3)</t>
  </si>
  <si>
    <t>TOTAL OTHER PERSONNEL</t>
  </si>
  <si>
    <t>TOTAL SALARIES &amp; WAGES</t>
  </si>
  <si>
    <t>C.  FRINGE BENEFITS</t>
  </si>
  <si>
    <t>TOTAL FRINGE BENEFITS</t>
  </si>
  <si>
    <t>FRINGE</t>
  </si>
  <si>
    <t>TOTAL SALARIES, WAGES &amp; FB</t>
  </si>
  <si>
    <t>D.  EQUIPMENT</t>
  </si>
  <si>
    <t>EQUIP</t>
  </si>
  <si>
    <t>TOTAL EQUIPMENT</t>
  </si>
  <si>
    <t>E.  TRAVEL</t>
  </si>
  <si>
    <t>DOTRAV</t>
  </si>
  <si>
    <t>FOTRAV</t>
  </si>
  <si>
    <t>TOTAL TRAVEL</t>
  </si>
  <si>
    <t>TRAVEL</t>
  </si>
  <si>
    <t>F.  PARTICIPANT COSTS/STIPENDS</t>
  </si>
  <si>
    <t>PTSTIP</t>
  </si>
  <si>
    <t>PTSUBS</t>
  </si>
  <si>
    <t>PTOTHR</t>
  </si>
  <si>
    <t>TOTAL PARTICIPANT COSTS</t>
  </si>
  <si>
    <t>G.  OTHER DIRECT COSTS</t>
  </si>
  <si>
    <t>SUPL</t>
  </si>
  <si>
    <t>CONSLT</t>
  </si>
  <si>
    <t>SUB&lt;25</t>
  </si>
  <si>
    <t>SUB&gt;25</t>
  </si>
  <si>
    <t>RENO</t>
  </si>
  <si>
    <t>OTHER (1)</t>
  </si>
  <si>
    <t>OTHER (2)</t>
  </si>
  <si>
    <t>OTHER (3)</t>
  </si>
  <si>
    <t>OTHRNO</t>
  </si>
  <si>
    <t>OTHER (4)</t>
  </si>
  <si>
    <t>OTHER</t>
  </si>
  <si>
    <t>Total Other Direct Costs Subject</t>
  </si>
  <si>
    <t>Total Other Direct Costs Not Subject</t>
  </si>
  <si>
    <t>TOTAL OTHER DIRECT COSTS</t>
  </si>
  <si>
    <t>Indirect Cost Calculations</t>
  </si>
  <si>
    <t>F&amp;A Rate Applied:</t>
  </si>
  <si>
    <t>DC SUBJECT TO F&amp;A (F&amp;A BASE):</t>
  </si>
  <si>
    <t>DC NOT SUBJECT TO F&amp;A:</t>
  </si>
  <si>
    <t>H. TOTAL DIRECT COSTS</t>
  </si>
  <si>
    <t>I.   INDIRECT COSTS</t>
  </si>
  <si>
    <t>FACADM</t>
  </si>
  <si>
    <t>J.  TOTAL PROJECT COSTS</t>
  </si>
  <si>
    <t>Less Cost Sharing</t>
  </si>
  <si>
    <t>Subcontractor Listing</t>
  </si>
  <si>
    <t>With Overhead</t>
  </si>
  <si>
    <t>Total MTDC</t>
  </si>
  <si>
    <t>1)  Domestic</t>
  </si>
  <si>
    <t>2)  Foreign</t>
  </si>
  <si>
    <t>1)  Stipend</t>
  </si>
  <si>
    <t>2)  Travel</t>
  </si>
  <si>
    <t>3)  Subsistence</t>
  </si>
  <si>
    <t>4)  Other/Training Related Expenses</t>
  </si>
  <si>
    <t>1)  Materials and Supplies</t>
  </si>
  <si>
    <t>2)  Consultant Services</t>
  </si>
  <si>
    <t>3)  Subcontracts</t>
  </si>
  <si>
    <t>a)  w/overhead (1st $25K each sub)</t>
  </si>
  <si>
    <t>b)  Without overhead</t>
  </si>
  <si>
    <t>a)  Publication Costs</t>
  </si>
  <si>
    <t>b)  Purchased Services</t>
  </si>
  <si>
    <t>Purchased Services</t>
  </si>
  <si>
    <t>Rental/User Fees</t>
  </si>
  <si>
    <t>Alterations</t>
  </si>
  <si>
    <t>Other - Describe</t>
  </si>
  <si>
    <t>Inst #:</t>
  </si>
  <si>
    <t>Subawards/Consortium/Contractual Costs (Fill in Below)</t>
  </si>
  <si>
    <t>Budget entry must begin on “Personnel Yr 1” tab and proceed accordingly.</t>
  </si>
  <si>
    <t>Color key:</t>
  </si>
  <si>
    <t>Personnel Year 1:</t>
  </si>
  <si>
    <t>Non-personnel:</t>
  </si>
  <si>
    <t>indicate required cells for data entry</t>
  </si>
  <si>
    <t>indicate locked cells that are non-editable.</t>
  </si>
  <si>
    <t>indicate cells that should be filled in for each participating personnel</t>
  </si>
  <si>
    <t>Red shaded fields:</t>
  </si>
  <si>
    <t>Gray shaded fields:</t>
  </si>
  <si>
    <t>Blue shaded fields:</t>
  </si>
  <si>
    <t>Complete the other project costs as needed.</t>
  </si>
  <si>
    <r>
      <t>1.</t>
    </r>
    <r>
      <rPr>
        <sz val="7"/>
        <rFont val="Times New Roman"/>
        <family val="1"/>
      </rPr>
      <t> </t>
    </r>
  </si>
  <si>
    <r>
      <t>2.</t>
    </r>
    <r>
      <rPr>
        <sz val="7"/>
        <rFont val="Times New Roman"/>
        <family val="1"/>
      </rPr>
      <t> </t>
    </r>
  </si>
  <si>
    <r>
      <t>3.</t>
    </r>
    <r>
      <rPr>
        <sz val="7"/>
        <rFont val="Times New Roman"/>
        <family val="1"/>
      </rPr>
      <t> </t>
    </r>
  </si>
  <si>
    <t>Notes (will not print)</t>
  </si>
  <si>
    <t>%Effort/Effort Month Calculator</t>
  </si>
  <si>
    <t>% Effort</t>
  </si>
  <si>
    <t>Cal</t>
  </si>
  <si>
    <t>Acad</t>
  </si>
  <si>
    <t>Sum</t>
  </si>
  <si>
    <t>If you know the percent effort but not the corresponding months, please use cells below to calculate.  Enter a percentage below (yellow field) and copy/paste the proper effort month (white) into the corresponding field.</t>
  </si>
  <si>
    <t>Fnd/Prof Soc</t>
  </si>
  <si>
    <t>9. Additional Senior/Key Personnel</t>
  </si>
  <si>
    <t>Enter Additional Senior Key Personnel (up to 15) on the bottom of the worksheet.  The detail will not print, only the summary of the additional personnel in the Senior/Key Person section.</t>
  </si>
  <si>
    <t>Additional Investigator Pending Effort</t>
  </si>
  <si>
    <t>ADDITIONAL SENIOR PERSONNEL</t>
  </si>
  <si>
    <t>TOTAL ADDITIONAL SENIOR SUMMER</t>
  </si>
  <si>
    <t>TOTAL ADDITIONAL SENIOR ACADEMIC</t>
  </si>
  <si>
    <t>TOTAL ADDITIONAL SENIOR CALENDAR</t>
  </si>
  <si>
    <t>TOTAL ADDTNL SENIOR PERSONNEL</t>
  </si>
  <si>
    <t>Additional Investigator Pending Effort (Cont.)</t>
  </si>
  <si>
    <t>Justification</t>
  </si>
  <si>
    <t>Justification Page</t>
  </si>
  <si>
    <t>Justification (Does not print on this page, you must print from Justification page)</t>
  </si>
  <si>
    <t>F&amp;A Description</t>
  </si>
  <si>
    <t>Instruction - Off Campus</t>
  </si>
  <si>
    <t>Other - Off Campus</t>
  </si>
  <si>
    <t>Other - On Campus</t>
  </si>
  <si>
    <t>Research - Off Campus</t>
  </si>
  <si>
    <t>Research - On Campus</t>
  </si>
  <si>
    <t>Instruction - On Campus</t>
  </si>
  <si>
    <t>Research - Off Campus - 26.00%</t>
  </si>
  <si>
    <t>Instruction - Off Campus - 26.00%</t>
  </si>
  <si>
    <t>Other - Off Campus - 26.00%</t>
  </si>
  <si>
    <t>F&amp;A Rate 2</t>
  </si>
  <si>
    <t>F&amp;A Description 2</t>
  </si>
  <si>
    <t>a. Personnel</t>
  </si>
  <si>
    <t>b. Fringe Benefits</t>
  </si>
  <si>
    <t>c. Travel</t>
  </si>
  <si>
    <t>d. Equipment</t>
  </si>
  <si>
    <t>e. Supplies</t>
  </si>
  <si>
    <t>f. Contractual</t>
  </si>
  <si>
    <t>g. Construction</t>
  </si>
  <si>
    <t>h. Other</t>
  </si>
  <si>
    <t>i. Total Direct Charges</t>
  </si>
  <si>
    <t>j. Indirect Charges</t>
  </si>
  <si>
    <t>k Totals</t>
  </si>
  <si>
    <t>6. Object Class Categories</t>
  </si>
  <si>
    <t>1.</t>
  </si>
  <si>
    <t>2.</t>
  </si>
  <si>
    <t>3.</t>
  </si>
  <si>
    <t>4.</t>
  </si>
  <si>
    <t>Estimated Unobligated Funds</t>
  </si>
  <si>
    <t>New or Revised Budget</t>
  </si>
  <si>
    <t>Federal
(c)</t>
  </si>
  <si>
    <t>Non-Federal
(d)</t>
  </si>
  <si>
    <t>Federal
(e)</t>
  </si>
  <si>
    <t>Non-Federal
(f)</t>
  </si>
  <si>
    <t>Total
(g)</t>
  </si>
  <si>
    <t>Catalog of Federal Domestic Assistance Number
(b)</t>
  </si>
  <si>
    <t xml:space="preserve">5. </t>
  </si>
  <si>
    <t>Totals</t>
  </si>
  <si>
    <t>Grant Program Function
or Activity
(a)</t>
  </si>
  <si>
    <t>GRANT PROGRAM, FUNCTION OR ACTIVITY</t>
  </si>
  <si>
    <t>Total
(5)</t>
  </si>
  <si>
    <t>SECTION B - BUDGET CATEGORIES</t>
  </si>
  <si>
    <t>SECTION A - BUDGET SUMMARY</t>
  </si>
  <si>
    <t>7. Program Income</t>
  </si>
  <si>
    <t>SECTION C - NON-FEDERAL RESOURCES</t>
  </si>
  <si>
    <t xml:space="preserve">12. </t>
  </si>
  <si>
    <t xml:space="preserve">11. </t>
  </si>
  <si>
    <t xml:space="preserve">10. </t>
  </si>
  <si>
    <t xml:space="preserve">9. </t>
  </si>
  <si>
    <t xml:space="preserve">8. </t>
  </si>
  <si>
    <t>SECTION D - FORCASTED CASH NEEDS</t>
  </si>
  <si>
    <t>SECTION E - BUDGET ESTIMATES OR FEDERAL FUNDS NEEDED FOR BALANCE OF THE PROJECT</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</si>
  <si>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</si>
  <si>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</si>
  <si>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</si>
  <si>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</si>
  <si>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</si>
  <si>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</si>
  <si>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</si>
  <si>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</si>
  <si>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</si>
  <si>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23. </t>
  </si>
  <si>
    <t>(b) Applicant</t>
  </si>
  <si>
    <t xml:space="preserve">(c) State </t>
  </si>
  <si>
    <t>(d) Other Sources</t>
  </si>
  <si>
    <t>(e) TOTALS</t>
  </si>
  <si>
    <t>(a) Grant Program</t>
  </si>
  <si>
    <r>
      <t xml:space="preserve">TOTAL </t>
    </r>
    <r>
      <rPr>
        <i/>
        <sz val="10"/>
        <rFont val="Arial"/>
        <family val="2"/>
      </rPr>
      <t>(sum of lines 8-11)</t>
    </r>
  </si>
  <si>
    <t>Non-Federal</t>
  </si>
  <si>
    <t>TOTAL (sum of lines 13 and 14)</t>
  </si>
  <si>
    <t>Total for 1st Year</t>
  </si>
  <si>
    <t>1st Quarter</t>
  </si>
  <si>
    <t>2nd Quarter</t>
  </si>
  <si>
    <t>3rd Quarter</t>
  </si>
  <si>
    <t>4th Quarter</t>
  </si>
  <si>
    <t>FUTURE FUNDING PERIODS (Years)</t>
  </si>
  <si>
    <t>(b) First</t>
  </si>
  <si>
    <t>(c) Second</t>
  </si>
  <si>
    <t>(d) Third</t>
  </si>
  <si>
    <t>(e) Fourth</t>
  </si>
  <si>
    <t>TOTAL (sum of lines 16-19)</t>
  </si>
  <si>
    <t>SECTION F - OTHER BUDGET INFORMATION</t>
  </si>
  <si>
    <t>Direct Charges:</t>
  </si>
  <si>
    <t>Remarks:</t>
  </si>
  <si>
    <t xml:space="preserve">22. </t>
  </si>
  <si>
    <t>Indirect Charges:</t>
  </si>
  <si>
    <t>BUDGET INFORMATION - Non-Construction Programs</t>
  </si>
  <si>
    <t>U.S. DEPARTMENT OF EDUCATION</t>
  </si>
  <si>
    <t>BUDGET INFORMATION</t>
  </si>
  <si>
    <t>NON-CONSTRUCTION PROGRAMS</t>
  </si>
  <si>
    <t>OMB Control Number:  1894-0008</t>
  </si>
  <si>
    <t xml:space="preserve">Name of Institution/Organization       </t>
  </si>
  <si>
    <t>Applicants requesting funding for only one year should complete the column under "Project Year 1."  Applicants requesting funding for multi-year grants should complete all applicable columns.  Please read all instructions before completing form.</t>
  </si>
  <si>
    <t>U.S. DEPARTMENT OF EDUCATION FUNDS</t>
  </si>
  <si>
    <t>Budget Categories</t>
  </si>
  <si>
    <t>Project Year 1</t>
  </si>
  <si>
    <t>(a)</t>
  </si>
  <si>
    <t>Project Year 2</t>
  </si>
  <si>
    <t>(b)</t>
  </si>
  <si>
    <t>Project Year 3</t>
  </si>
  <si>
    <t>(c)</t>
  </si>
  <si>
    <t>Project Year 4</t>
  </si>
  <si>
    <t>(d)</t>
  </si>
  <si>
    <t>Project Year 5</t>
  </si>
  <si>
    <t>(e)</t>
  </si>
  <si>
    <t>(f)</t>
  </si>
  <si>
    <r>
      <t xml:space="preserve">*Indirect Cost Information </t>
    </r>
    <r>
      <rPr>
        <b/>
        <i/>
        <sz val="10"/>
        <rFont val="Times New Roman"/>
        <family val="1"/>
      </rPr>
      <t>(To Be Completed by Your Business Office</t>
    </r>
    <r>
      <rPr>
        <b/>
        <sz val="10"/>
        <rFont val="Times New Roman"/>
        <family val="1"/>
      </rPr>
      <t>):</t>
    </r>
  </si>
  <si>
    <t>If you are requesting reimbursement for indirect costs on line 10, please answer the following questions:</t>
  </si>
  <si>
    <t>Syracuse University</t>
  </si>
  <si>
    <t>(2)</t>
  </si>
  <si>
    <t>If yes, please provide the following information:</t>
  </si>
  <si>
    <t>Period Covered by the Indirect Cost Rate Agreement: From:</t>
  </si>
  <si>
    <t>To</t>
  </si>
  <si>
    <t>(mm/dd/yyyy)</t>
  </si>
  <si>
    <t>(1)</t>
  </si>
  <si>
    <t>(3)</t>
  </si>
  <si>
    <t>12.</t>
  </si>
  <si>
    <t>5.</t>
  </si>
  <si>
    <t>6.</t>
  </si>
  <si>
    <t>7.</t>
  </si>
  <si>
    <t>8.</t>
  </si>
  <si>
    <t>9.</t>
  </si>
  <si>
    <t>10.</t>
  </si>
  <si>
    <t>11.</t>
  </si>
  <si>
    <t xml:space="preserve">Approving Federal agency:  </t>
  </si>
  <si>
    <t xml:space="preserve"> Is included in your approved Indirect Cost Rate Agreement?  or  </t>
  </si>
  <si>
    <t xml:space="preserve">ED     </t>
  </si>
  <si>
    <t>Do you have an Indirect Cost Rate Agreement approved by the Federal government?</t>
  </si>
  <si>
    <t>Personnel</t>
  </si>
  <si>
    <t>Equipment</t>
  </si>
  <si>
    <t>Supplies</t>
  </si>
  <si>
    <t>Contractual</t>
  </si>
  <si>
    <t>Construction</t>
  </si>
  <si>
    <t>Total Direct Costs (lines 1-8)</t>
  </si>
  <si>
    <t>Indirect Costs*</t>
  </si>
  <si>
    <t>Training Stipends</t>
  </si>
  <si>
    <t>Total Costs (lines 9-11)</t>
  </si>
  <si>
    <t xml:space="preserve">Complies with 34 CFR 76.564(c)(2)? </t>
  </si>
  <si>
    <t>The Indirect Cost Rate is:</t>
  </si>
  <si>
    <r>
      <t>Other</t>
    </r>
    <r>
      <rPr>
        <sz val="8"/>
        <rFont val="Times New Roman"/>
        <family val="1"/>
      </rPr>
      <t xml:space="preserve"> (please specify)</t>
    </r>
    <r>
      <rPr>
        <sz val="9"/>
        <rFont val="Times New Roman"/>
        <family val="1"/>
      </rPr>
      <t>:</t>
    </r>
  </si>
  <si>
    <t>No</t>
  </si>
  <si>
    <t>For Restricted Rate Programs (check one) -- Are you using a restricted indirect cost rate that:</t>
  </si>
  <si>
    <t>X</t>
  </si>
  <si>
    <t xml:space="preserve"> Restricted Indirect Cost Rate?</t>
  </si>
  <si>
    <t>DHHS</t>
  </si>
  <si>
    <t>Year 1 Bi-Monthly</t>
  </si>
  <si>
    <t>Added 524 sheet.</t>
  </si>
  <si>
    <t>Added 424a sheet.</t>
  </si>
  <si>
    <t>Updated Fringe Rates and tuition amounts.</t>
  </si>
  <si>
    <t>Added Year 1 Bi-Monthly compensation amount for all senior personnel in the File Copy Budget sheet.</t>
  </si>
  <si>
    <r>
      <t>4.</t>
    </r>
    <r>
      <rPr>
        <sz val="7"/>
        <rFont val="Times New Roman"/>
        <family val="1"/>
      </rPr>
      <t> </t>
    </r>
  </si>
  <si>
    <t>Rental/Lease of Non-SU Off-site Facilities</t>
  </si>
  <si>
    <t>c)  Rental/Lease of Non-SU Off-site Fac</t>
  </si>
  <si>
    <t>Expiration Date:  04/30/2014</t>
  </si>
  <si>
    <t>Updated 524 Sheet</t>
  </si>
  <si>
    <t>Fixed Total Other Senior Personnel to calculate correctly.</t>
  </si>
  <si>
    <t>Updated Fringe Benefits for FY15.</t>
  </si>
  <si>
    <t>FB</t>
  </si>
  <si>
    <t>SRCAL</t>
  </si>
  <si>
    <t>OTFUL</t>
  </si>
  <si>
    <t>OTTMP</t>
  </si>
  <si>
    <t>OTADJ</t>
  </si>
  <si>
    <t>OTUGR</t>
  </si>
  <si>
    <t>OTPDR</t>
  </si>
  <si>
    <t>OTESO</t>
  </si>
  <si>
    <t>f)   Adjunct Faculty</t>
  </si>
  <si>
    <t>e)  Extra Service &amp; Overload</t>
  </si>
  <si>
    <t>Extra Service &amp; Overload</t>
  </si>
  <si>
    <t>Adjunct Faculty</t>
  </si>
  <si>
    <t>PUBLI</t>
  </si>
  <si>
    <t>PURCH</t>
  </si>
  <si>
    <t>TUITIO</t>
  </si>
  <si>
    <t>TUITRM</t>
  </si>
  <si>
    <t>e)  Tuition - Scholarship</t>
  </si>
  <si>
    <t>SUBJCT</t>
  </si>
  <si>
    <t>Tuition - Remitted</t>
  </si>
  <si>
    <t>Tuition - Scholarship</t>
  </si>
  <si>
    <t>Human Subject</t>
  </si>
  <si>
    <t>Adjunct</t>
  </si>
  <si>
    <t>d)  Remitted Tuition Req of Agency</t>
  </si>
  <si>
    <t>Modular Budget Guidance:</t>
  </si>
  <si>
    <t>Annual Rounded Consortium Costs</t>
  </si>
  <si>
    <t>C. Total Direct and Indirect Costs (A+B)</t>
  </si>
  <si>
    <t>Funds Requested ($)</t>
  </si>
  <si>
    <t>* Funds Requested ($)</t>
  </si>
  <si>
    <t>Indirect Cost Base ($)</t>
  </si>
  <si>
    <t>Indirect Cost Rate (%)</t>
  </si>
  <si>
    <t>Indirect Cost Type</t>
  </si>
  <si>
    <t>B. Indirect Costs</t>
  </si>
  <si>
    <t>Total Direct Costs</t>
  </si>
  <si>
    <t>Consortium F&amp;A</t>
  </si>
  <si>
    <t>* Direct Cost less Consortium F&amp;A</t>
  </si>
  <si>
    <t>A. Direct Costs</t>
  </si>
  <si>
    <t>Suggested Modules To Request</t>
  </si>
  <si>
    <t>PHS 398 Modular Budget</t>
  </si>
  <si>
    <t>NIH Modular Budget (Salary Cap)</t>
  </si>
  <si>
    <t>NIH Salary Cap</t>
  </si>
  <si>
    <t>Direct</t>
  </si>
  <si>
    <t>Indirect</t>
  </si>
  <si>
    <t>NIH Grad Limit</t>
  </si>
  <si>
    <t>Grad</t>
  </si>
  <si>
    <t>Investigators</t>
  </si>
  <si>
    <t>Warnings:</t>
  </si>
  <si>
    <t>PTTRAV</t>
  </si>
  <si>
    <t>Other (Temp, wages)</t>
  </si>
  <si>
    <t>Federal - Other</t>
  </si>
  <si>
    <t>Federal - NIH</t>
  </si>
  <si>
    <t>Check NIH Grad Comp</t>
  </si>
  <si>
    <t xml:space="preserve"> </t>
  </si>
  <si>
    <t xml:space="preserve">      </t>
  </si>
  <si>
    <t>cond</t>
  </si>
  <si>
    <t>data valid</t>
  </si>
  <si>
    <t>Base salary should remain under $181,500 for calandar appointments and $128,562 for academic appointments.</t>
  </si>
  <si>
    <t>xxxxx</t>
  </si>
  <si>
    <t>OSA Fields</t>
  </si>
  <si>
    <t>MTDC-Fed</t>
  </si>
  <si>
    <t>MTDC-NonFed</t>
  </si>
  <si>
    <t>Number of Participants</t>
  </si>
  <si>
    <t>$250,000 per year, or when NIH FOA indicates that the modular format should be used.</t>
  </si>
  <si>
    <r>
      <t xml:space="preserve">1.   </t>
    </r>
    <r>
      <rPr>
        <sz val="10"/>
        <color theme="3"/>
        <rFont val="Arial"/>
        <family val="2"/>
      </rPr>
      <t>NIH modular budgets are applicable when Total Direct Costs, excluding subaward F&amp;A, are equal to or less than</t>
    </r>
  </si>
  <si>
    <t>NIH modular budget guidance.</t>
  </si>
  <si>
    <t>actual detail budget.</t>
  </si>
  <si>
    <t>use the ‘NIH Mod-Even Dist’, as it will evenly distribute modules.</t>
  </si>
  <si>
    <r>
      <rPr>
        <b/>
        <sz val="10"/>
        <color theme="3"/>
        <rFont val="Arial"/>
        <family val="2"/>
      </rPr>
      <t>2.</t>
    </r>
    <r>
      <rPr>
        <sz val="10"/>
        <color theme="3"/>
        <rFont val="Arial"/>
        <family val="2"/>
      </rPr>
      <t xml:space="preserve">   Ordinarily all years of a modular budget will have the same number of modules. In these cases,</t>
    </r>
  </si>
  <si>
    <r>
      <t xml:space="preserve">3.   </t>
    </r>
    <r>
      <rPr>
        <sz val="10"/>
        <color theme="3"/>
        <rFont val="Arial"/>
        <family val="2"/>
      </rPr>
      <t>In some instances, one year might have an additional module for specific reasons, such as accommodating</t>
    </r>
  </si>
  <si>
    <t>equipment requests or R21 proposals. In these cases, use the ‘NIH Mod-Free’ tab, as it will allow for uneven</t>
  </si>
  <si>
    <t>module distribution. Uneven modules must be explained in the ‘Additional Narrative Justification’ field of the</t>
  </si>
  <si>
    <t>NIH Grants.gov application package.</t>
  </si>
  <si>
    <r>
      <rPr>
        <b/>
        <sz val="10"/>
        <color theme="3"/>
        <rFont val="Arial"/>
        <family val="2"/>
      </rPr>
      <t>4.</t>
    </r>
    <r>
      <rPr>
        <sz val="10"/>
        <color theme="3"/>
        <rFont val="Arial"/>
        <family val="2"/>
      </rPr>
      <t xml:space="preserve">   The modular budget template automatically rounds to the nearest $25,000 module (up or down), in accordance with the</t>
    </r>
  </si>
  <si>
    <r>
      <rPr>
        <b/>
        <sz val="10"/>
        <color theme="3"/>
        <rFont val="Arial"/>
        <family val="2"/>
      </rPr>
      <t xml:space="preserve">5. </t>
    </r>
    <r>
      <rPr>
        <sz val="10"/>
        <color theme="3"/>
        <rFont val="Arial"/>
        <family val="2"/>
      </rPr>
      <t xml:space="preserve">  Please note that the OSP File Copy Budget and the Modular Budget might represent different totals, as the modular</t>
    </r>
  </si>
  <si>
    <r>
      <rPr>
        <b/>
        <sz val="10"/>
        <color theme="3"/>
        <rFont val="Arial"/>
        <family val="2"/>
      </rPr>
      <t>6.</t>
    </r>
    <r>
      <rPr>
        <sz val="10"/>
        <color theme="3"/>
        <rFont val="Arial"/>
        <family val="2"/>
      </rPr>
      <t xml:space="preserve">   If applicable, Annual Rounded Consortium Costs (Direct &amp; Indirect) to be included in the Consortium Justification.</t>
    </r>
  </si>
  <si>
    <t>budget tab is rounding to the nearest $25,000 module, while the OSP file copy budget is representing the</t>
  </si>
  <si>
    <t xml:space="preserve">Complete the red highlighted cells on “Personnel Yr 1” Tab (Mandatory Fields).   Insert the annual salary for each person and then enter the months effort requested. The salary requested and fringe benefits will calculate automatically.  </t>
  </si>
  <si>
    <t>Updated NIH Salary Cap and GA comp cap</t>
  </si>
  <si>
    <t>Changed wording in regards to NSF summer salary.</t>
  </si>
  <si>
    <t>File Copy tab, cell H79 referencing the wrong cell.</t>
  </si>
  <si>
    <t>Updated Fringe rates for FY16</t>
  </si>
  <si>
    <t>Fixed F&amp;A calculation for TDC.</t>
  </si>
  <si>
    <t>Fixed error checking for NIH Salary Cap.</t>
  </si>
  <si>
    <t>New F&amp;A rates</t>
  </si>
  <si>
    <t>Research - On Campus - 50.00%</t>
  </si>
  <si>
    <t>Instruction - On Campus - 34.00%</t>
  </si>
  <si>
    <t>Other - On Campus - 35.00%</t>
  </si>
  <si>
    <t>F&amp;A incorrectly calculating.  Changed second lookup table.</t>
  </si>
  <si>
    <t>Base salary should remain under $185,100 for calandar appointments and $131,112 for academic appointments.</t>
  </si>
  <si>
    <t xml:space="preserve">Updated the NIH salary cap numbers. </t>
  </si>
  <si>
    <t>Updated Fringe Benefits for FY17</t>
  </si>
  <si>
    <t>Updated Grad pay ceiling to $43,362 for NIH.</t>
  </si>
  <si>
    <t>Updated Fringe Benefits for FY18</t>
  </si>
  <si>
    <t>Updated the NIH Salary Caps</t>
  </si>
  <si>
    <t>Lab/ Technical Project Manager (Staff)</t>
  </si>
  <si>
    <t>CUSE Grant Program Budget</t>
  </si>
  <si>
    <t xml:space="preserve">For Graduate Assistants, the fringe benefit rate is default to Syracuse University's current internal GA fringe rate. The number of students must be entered in Cell B23.  </t>
  </si>
  <si>
    <t>CUSE Grants Program Budget Template</t>
  </si>
  <si>
    <t>CUSE Grant Budget:</t>
  </si>
  <si>
    <t>The CUSE Grant Budget is a read-only summary compilation of all entered budget data.  CUSE Grant Applications must include the 'CUSE Grant Budget' form for the budget section. Review the assembled budget for accuracy and if changes are desired, the edits will need to be made on the appropriate data-entry forms preceding the CUSE Grant Budget Form.</t>
  </si>
  <si>
    <t>FY18 - $1,500</t>
  </si>
  <si>
    <t>1)  Requested Amount</t>
  </si>
  <si>
    <t>Amount</t>
  </si>
  <si>
    <t>FY21 - $1683</t>
  </si>
  <si>
    <t>Personnel Year 2:</t>
  </si>
  <si>
    <t>Personnel Data from Personnel Year 1 tab will be automatically entered in “Personnel Yr 2”.</t>
  </si>
  <si>
    <t>Complete all of Section "A."</t>
  </si>
  <si>
    <t>Salary escalation for the out years has a preset default of 3%.</t>
  </si>
  <si>
    <t>3)  Alterations &amp; Renovations</t>
  </si>
  <si>
    <t>4)  Other</t>
  </si>
  <si>
    <t>H.  TOTAL REQUEST</t>
  </si>
  <si>
    <t>d)  Human Subject</t>
  </si>
  <si>
    <t>Print only this sheet to PDF and upload to the Application Portal.</t>
  </si>
  <si>
    <t>To print to PDF:</t>
  </si>
  <si>
    <t>Go to File -&gt; Save as Adobe PDF</t>
  </si>
  <si>
    <t>Or</t>
  </si>
  <si>
    <t>File -&gt; Print -&gt; Adobe PDF</t>
  </si>
  <si>
    <t xml:space="preserve">   2)  Lab/Technical Project Manager (Staff)</t>
  </si>
  <si>
    <t>Directions for Completing the CUSE Grant Program Template - FY22 Rates</t>
  </si>
  <si>
    <t>Last Updated: 12/10/2021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</si>
</sst>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quot;$&quot;#,##0"/>
  </numFmts>
  <fonts count="43" x14ac:knownFonts="1">
    <font>
      <sz val="10"/>
      <name val="Arial"/>
    </font>
    <font>
      <sz val="10"/>
      <name val="Arial"/>
      <family val="2"/>
    </font>
    <font>
      <b/>
      <sz val="14"/>
      <name val="Arial"/>
      <family val="2"/>
    </font>
    <font>
      <sz val="10"/>
      <name val="Arial"/>
      <family val="2"/>
    </font>
    <font>
      <b/>
      <sz val="10"/>
      <name val="Arial"/>
      <family val="2"/>
    </font>
    <font>
      <sz val="8"/>
      <name val="Arial"/>
      <family val="2"/>
    </font>
    <font>
      <sz val="10"/>
      <color indexed="8"/>
      <name val="Arial"/>
      <family val="2"/>
    </font>
    <font>
      <sz val="10"/>
      <color indexed="8"/>
      <name val="Arial"/>
      <family val="2"/>
    </font>
    <font>
      <b/>
      <sz val="12"/>
      <name val="Times New Roman"/>
      <family val="1"/>
    </font>
    <font>
      <b/>
      <i/>
      <sz val="12"/>
      <name val="Arial"/>
      <family val="2"/>
    </font>
    <font>
      <b/>
      <i/>
      <sz val="11"/>
      <name val="Arial"/>
      <family val="2"/>
    </font>
    <font>
      <b/>
      <i/>
      <sz val="10"/>
      <name val="Arial"/>
      <family val="2"/>
    </font>
    <font>
      <b/>
      <sz val="10"/>
      <name val="Arial"/>
      <family val="2"/>
    </font>
    <font>
      <i/>
      <sz val="10"/>
      <name val="Arial"/>
      <family val="2"/>
    </font>
    <font>
      <b/>
      <sz val="9"/>
      <name val="Arial"/>
      <family val="2"/>
    </font>
    <font>
      <b/>
      <sz val="11"/>
      <name val="Arial"/>
      <family val="2"/>
    </font>
    <font>
      <sz val="11"/>
      <name val="Arial"/>
      <family val="2"/>
    </font>
    <font>
      <i/>
      <sz val="10"/>
      <name val="Arial"/>
      <family val="2"/>
    </font>
    <font>
      <b/>
      <sz val="12"/>
      <name val="Arial"/>
      <family val="2"/>
    </font>
    <font>
      <b/>
      <u/>
      <sz val="11"/>
      <name val="Arial"/>
      <family val="2"/>
    </font>
    <font>
      <sz val="7"/>
      <name val="Times New Roman"/>
      <family val="1"/>
    </font>
    <font>
      <sz val="16"/>
      <name val="Arial"/>
      <family val="2"/>
    </font>
    <font>
      <b/>
      <sz val="11"/>
      <name val="Arial"/>
      <family val="2"/>
    </font>
    <font>
      <sz val="10"/>
      <name val="Times New Roman"/>
      <family val="1"/>
    </font>
    <font>
      <b/>
      <sz val="10"/>
      <name val="Times New Roman"/>
      <family val="1"/>
    </font>
    <font>
      <b/>
      <sz val="11"/>
      <name val="Times New Roman"/>
      <family val="1"/>
    </font>
    <font>
      <b/>
      <i/>
      <sz val="10"/>
      <name val="Times New Roman"/>
      <family val="1"/>
    </font>
    <font>
      <sz val="9"/>
      <name val="Times New Roman"/>
      <family val="1"/>
    </font>
    <font>
      <sz val="8"/>
      <name val="Times New Roman"/>
      <family val="1"/>
    </font>
    <font>
      <sz val="10"/>
      <color theme="3"/>
      <name val="Arial"/>
      <family val="2"/>
    </font>
    <font>
      <b/>
      <sz val="10"/>
      <color theme="3"/>
      <name val="Arial"/>
      <family val="2"/>
    </font>
    <font>
      <b/>
      <i/>
      <sz val="10"/>
      <color theme="3"/>
      <name val="Arial"/>
      <family val="2"/>
    </font>
    <font>
      <b/>
      <sz val="14"/>
      <color indexed="8"/>
      <name val="Arial"/>
      <family val="1"/>
      <charset val="204"/>
    </font>
    <font>
      <sz val="8"/>
      <color indexed="8"/>
      <name val="Arial"/>
      <family val="1"/>
      <charset val="204"/>
    </font>
    <font>
      <b/>
      <sz val="10"/>
      <color theme="0"/>
      <name val="Arial"/>
      <family val="2"/>
    </font>
    <font>
      <sz val="10"/>
      <color theme="0"/>
      <name val="Arial"/>
      <family val="2"/>
    </font>
    <font>
      <b/>
      <u/>
      <sz val="12"/>
      <name val="Arial"/>
      <family val="2"/>
    </font>
    <font>
      <b/>
      <sz val="10"/>
      <color rgb="FFFF0000"/>
      <name val="Arial"/>
      <family val="2"/>
    </font>
    <font>
      <sz val="10"/>
      <color theme="1"/>
      <name val="Arial"/>
      <family val="2"/>
    </font>
    <font>
      <sz val="10"/>
      <color rgb="FFFF0000"/>
      <name val="Arial"/>
      <family val="2"/>
    </font>
    <font>
      <u/>
      <sz val="10"/>
      <color theme="10"/>
      <name val="Arial"/>
      <family val="2"/>
    </font>
    <font>
      <sz val="10"/>
      <color theme="6" tint="-0.249977111117893"/>
      <name val="Arial"/>
      <family val="2"/>
    </font>
    <font>
      <i/>
      <sz val="11"/>
      <name val="Arial"/>
      <family val="2"/>
    </font>
  </fonts>
  <fills count="1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9"/>
        <bgColor indexed="9"/>
      </patternFill>
    </fill>
    <fill>
      <patternFill patternType="solid">
        <fgColor indexed="44"/>
        <bgColor indexed="64"/>
      </patternFill>
    </fill>
    <fill>
      <patternFill patternType="solid">
        <fgColor indexed="38"/>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
      <patternFill patternType="solid">
        <fgColor indexed="22"/>
        <bgColor indexed="9"/>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0000"/>
        <bgColor indexed="64"/>
      </patternFill>
    </fill>
    <fill>
      <patternFill patternType="solid">
        <fgColor indexed="22"/>
        <bgColor auto="1"/>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111">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right style="medium">
        <color indexed="64"/>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medium">
        <color indexed="64"/>
      </bottom>
      <diagonal/>
    </border>
    <border>
      <left style="medium">
        <color indexed="64"/>
      </left>
      <right style="double">
        <color indexed="64"/>
      </right>
      <top/>
      <bottom style="medium">
        <color indexed="64"/>
      </bottom>
      <diagonal/>
    </border>
    <border>
      <left/>
      <right style="double">
        <color indexed="64"/>
      </right>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40" fillId="0" borderId="0" applyNumberFormat="0" applyFill="0" applyBorder="0" applyAlignment="0" applyProtection="0"/>
  </cellStyleXfs>
  <cellXfs count="939">
    <xf numFmtId="0" fontId="0" fillId="0" borderId="0" xfId="0"/>
    <xf numFmtId="0" fontId="3" fillId="0" borderId="0" xfId="0" applyFont="1" applyAlignment="1" applyProtection="1">
      <alignment horizontal="center"/>
    </xf>
    <xf numFmtId="0" fontId="0" fillId="0" borderId="0" xfId="0" applyProtection="1"/>
    <xf numFmtId="0" fontId="4" fillId="0" borderId="0" xfId="0" applyFont="1" applyAlignment="1" applyProtection="1">
      <alignment horizontal="center" wrapText="1"/>
    </xf>
    <xf numFmtId="0" fontId="4" fillId="0" borderId="1" xfId="0" applyFont="1" applyBorder="1" applyAlignment="1" applyProtection="1">
      <alignment horizontal="center" wrapText="1"/>
    </xf>
    <xf numFmtId="0" fontId="4" fillId="0" borderId="0" xfId="0" applyFont="1"/>
    <xf numFmtId="0" fontId="0" fillId="0" borderId="2" xfId="0" applyBorder="1" applyProtection="1">
      <protection locked="0"/>
    </xf>
    <xf numFmtId="0" fontId="0" fillId="0" borderId="3" xfId="0" applyBorder="1" applyProtection="1">
      <protection locked="0"/>
    </xf>
    <xf numFmtId="0" fontId="0" fillId="0" borderId="4" xfId="0" applyBorder="1" applyAlignment="1" applyProtection="1">
      <protection locked="0"/>
    </xf>
    <xf numFmtId="0" fontId="0" fillId="0" borderId="0" xfId="0" applyBorder="1"/>
    <xf numFmtId="0" fontId="0" fillId="0" borderId="0" xfId="0" applyBorder="1" applyAlignment="1">
      <alignment horizontal="right"/>
    </xf>
    <xf numFmtId="0" fontId="4" fillId="0" borderId="0" xfId="0" applyFont="1" applyBorder="1" applyAlignment="1">
      <alignment horizontal="right"/>
    </xf>
    <xf numFmtId="0" fontId="4" fillId="0" borderId="0" xfId="0" applyFont="1" applyAlignment="1"/>
    <xf numFmtId="0" fontId="4" fillId="0" borderId="0" xfId="0" applyFont="1" applyAlignment="1">
      <alignment horizontal="center"/>
    </xf>
    <xf numFmtId="0" fontId="0" fillId="0" borderId="1" xfId="0" applyBorder="1" applyAlignment="1">
      <alignment horizontal="center"/>
    </xf>
    <xf numFmtId="0" fontId="4" fillId="0" borderId="0" xfId="0" applyFont="1" applyAlignment="1">
      <alignment horizontal="center" wrapText="1"/>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Alignment="1" applyProtection="1">
      <alignment horizontal="right"/>
      <protection locked="0"/>
    </xf>
    <xf numFmtId="0" fontId="0" fillId="0" borderId="9" xfId="0" applyBorder="1" applyProtection="1">
      <protection locked="0"/>
    </xf>
    <xf numFmtId="0" fontId="0" fillId="0" borderId="10" xfId="0" applyBorder="1" applyAlignment="1" applyProtection="1">
      <alignment horizontal="right"/>
      <protection locked="0"/>
    </xf>
    <xf numFmtId="0" fontId="0" fillId="0" borderId="10" xfId="0" applyBorder="1" applyProtection="1">
      <protection locked="0"/>
    </xf>
    <xf numFmtId="0" fontId="0" fillId="0" borderId="11" xfId="0" applyBorder="1" applyAlignment="1"/>
    <xf numFmtId="0" fontId="0" fillId="0" borderId="0" xfId="0" applyAlignment="1"/>
    <xf numFmtId="0" fontId="0" fillId="0" borderId="0" xfId="0" applyAlignment="1">
      <alignment horizontal="right"/>
    </xf>
    <xf numFmtId="10" fontId="0" fillId="0" borderId="0" xfId="0" applyNumberFormat="1"/>
    <xf numFmtId="0" fontId="0" fillId="2" borderId="4" xfId="0" applyFill="1" applyBorder="1" applyProtection="1"/>
    <xf numFmtId="0" fontId="0" fillId="0" borderId="12" xfId="0" applyBorder="1" applyProtection="1">
      <protection locked="0"/>
    </xf>
    <xf numFmtId="0" fontId="0" fillId="0" borderId="13" xfId="0" applyBorder="1" applyProtection="1">
      <protection locked="0"/>
    </xf>
    <xf numFmtId="0" fontId="0" fillId="0" borderId="13" xfId="0" applyBorder="1" applyAlignment="1" applyProtection="1">
      <alignment horizontal="right"/>
      <protection locked="0"/>
    </xf>
    <xf numFmtId="0" fontId="3" fillId="0" borderId="0" xfId="0" applyFont="1" applyProtection="1"/>
    <xf numFmtId="0" fontId="0" fillId="0" borderId="0" xfId="0" applyBorder="1" applyAlignment="1"/>
    <xf numFmtId="0" fontId="4" fillId="0" borderId="14" xfId="0" applyFont="1" applyBorder="1"/>
    <xf numFmtId="0" fontId="0" fillId="0" borderId="11" xfId="0" applyBorder="1"/>
    <xf numFmtId="0" fontId="2" fillId="0" borderId="0" xfId="0" applyFont="1" applyAlignment="1" applyProtection="1"/>
    <xf numFmtId="0" fontId="4" fillId="0" borderId="2" xfId="0" applyFont="1" applyBorder="1" applyAlignment="1"/>
    <xf numFmtId="3" fontId="0" fillId="0" borderId="15" xfId="0" applyNumberFormat="1" applyBorder="1" applyAlignment="1"/>
    <xf numFmtId="3" fontId="0" fillId="3" borderId="16" xfId="0" applyNumberFormat="1" applyFill="1" applyBorder="1" applyAlignment="1"/>
    <xf numFmtId="3" fontId="0" fillId="3" borderId="15" xfId="0" applyNumberFormat="1" applyFill="1" applyBorder="1" applyAlignment="1"/>
    <xf numFmtId="0" fontId="4" fillId="0" borderId="1" xfId="0" applyFont="1" applyBorder="1" applyAlignment="1">
      <alignment horizontal="center" wrapText="1"/>
    </xf>
    <xf numFmtId="3" fontId="0" fillId="0" borderId="6" xfId="0" applyNumberFormat="1" applyBorder="1" applyProtection="1">
      <protection locked="0"/>
    </xf>
    <xf numFmtId="3" fontId="0" fillId="0" borderId="10" xfId="0" applyNumberFormat="1" applyBorder="1" applyAlignment="1" applyProtection="1">
      <alignment horizontal="right"/>
      <protection locked="0"/>
    </xf>
    <xf numFmtId="3" fontId="0" fillId="0" borderId="13" xfId="0" applyNumberFormat="1" applyBorder="1" applyAlignment="1" applyProtection="1">
      <alignment horizontal="right"/>
      <protection locked="0"/>
    </xf>
    <xf numFmtId="3" fontId="0" fillId="2" borderId="10" xfId="0" applyNumberFormat="1" applyFill="1" applyBorder="1" applyProtection="1"/>
    <xf numFmtId="3" fontId="0" fillId="2" borderId="6" xfId="0" applyNumberFormat="1" applyFill="1" applyBorder="1" applyProtection="1"/>
    <xf numFmtId="3" fontId="0" fillId="2" borderId="17" xfId="0" applyNumberFormat="1" applyFill="1" applyBorder="1" applyProtection="1"/>
    <xf numFmtId="3" fontId="0" fillId="2" borderId="10" xfId="0" applyNumberFormat="1" applyFill="1" applyBorder="1" applyAlignment="1" applyProtection="1">
      <alignment horizontal="right"/>
    </xf>
    <xf numFmtId="3" fontId="0" fillId="2" borderId="18" xfId="0" applyNumberFormat="1" applyFill="1" applyBorder="1" applyAlignment="1" applyProtection="1">
      <alignment horizontal="right"/>
    </xf>
    <xf numFmtId="3" fontId="0" fillId="2" borderId="8" xfId="0" applyNumberFormat="1" applyFill="1" applyBorder="1" applyProtection="1"/>
    <xf numFmtId="3" fontId="0" fillId="2" borderId="19" xfId="0" applyNumberFormat="1" applyFill="1" applyBorder="1" applyProtection="1"/>
    <xf numFmtId="3" fontId="0" fillId="2" borderId="15" xfId="0" applyNumberFormat="1" applyFill="1" applyBorder="1" applyProtection="1"/>
    <xf numFmtId="3" fontId="0" fillId="2" borderId="13" xfId="0" applyNumberFormat="1" applyFill="1" applyBorder="1" applyProtection="1"/>
    <xf numFmtId="3" fontId="0" fillId="0" borderId="8" xfId="0" applyNumberFormat="1" applyBorder="1" applyAlignment="1" applyProtection="1">
      <alignment horizontal="right"/>
      <protection locked="0"/>
    </xf>
    <xf numFmtId="3" fontId="0" fillId="0" borderId="10" xfId="0" applyNumberFormat="1" applyBorder="1" applyProtection="1">
      <protection locked="0"/>
    </xf>
    <xf numFmtId="3" fontId="0" fillId="0" borderId="13" xfId="0" applyNumberFormat="1" applyBorder="1" applyProtection="1">
      <protection locked="0"/>
    </xf>
    <xf numFmtId="3" fontId="0" fillId="2" borderId="4" xfId="0" applyNumberFormat="1" applyFill="1" applyBorder="1" applyAlignment="1" applyProtection="1">
      <alignment horizontal="right"/>
    </xf>
    <xf numFmtId="3" fontId="0" fillId="0" borderId="17" xfId="0" applyNumberFormat="1" applyBorder="1" applyAlignment="1"/>
    <xf numFmtId="3" fontId="0" fillId="3" borderId="20" xfId="0" applyNumberFormat="1" applyFill="1" applyBorder="1" applyAlignment="1"/>
    <xf numFmtId="3" fontId="0" fillId="0" borderId="16" xfId="0" applyNumberFormat="1" applyBorder="1" applyAlignment="1"/>
    <xf numFmtId="3" fontId="0" fillId="0" borderId="16" xfId="0" applyNumberFormat="1" applyFill="1" applyBorder="1" applyAlignment="1"/>
    <xf numFmtId="3" fontId="4" fillId="3" borderId="16" xfId="0" applyNumberFormat="1" applyFont="1" applyFill="1" applyBorder="1" applyAlignment="1"/>
    <xf numFmtId="3" fontId="3" fillId="0" borderId="15" xfId="0" applyNumberFormat="1" applyFont="1" applyBorder="1" applyAlignment="1"/>
    <xf numFmtId="0" fontId="2" fillId="0" borderId="0" xfId="0" applyFont="1" applyAlignment="1" applyProtection="1">
      <alignment horizontal="center"/>
    </xf>
    <xf numFmtId="10" fontId="0" fillId="0" borderId="1" xfId="0" applyNumberFormat="1" applyBorder="1" applyProtection="1"/>
    <xf numFmtId="0" fontId="4" fillId="0" borderId="0" xfId="0" quotePrefix="1" applyFont="1"/>
    <xf numFmtId="3" fontId="0" fillId="0" borderId="6" xfId="0" applyNumberFormat="1" applyFill="1" applyBorder="1" applyProtection="1">
      <protection locked="0"/>
    </xf>
    <xf numFmtId="0" fontId="4" fillId="0" borderId="0" xfId="0" applyFont="1" applyProtection="1"/>
    <xf numFmtId="0" fontId="0" fillId="0" borderId="10" xfId="0" applyFill="1" applyBorder="1" applyAlignment="1" applyProtection="1">
      <alignment horizontal="right"/>
      <protection locked="0"/>
    </xf>
    <xf numFmtId="0" fontId="0" fillId="0" borderId="8" xfId="0" applyBorder="1" applyProtection="1">
      <protection locked="0"/>
    </xf>
    <xf numFmtId="0" fontId="0" fillId="0" borderId="21" xfId="0" applyBorder="1" applyProtection="1">
      <protection locked="0"/>
    </xf>
    <xf numFmtId="0" fontId="0" fillId="0" borderId="22" xfId="0" applyBorder="1" applyProtection="1">
      <protection locked="0"/>
    </xf>
    <xf numFmtId="0" fontId="0" fillId="0" borderId="0" xfId="0" applyAlignment="1" applyProtection="1"/>
    <xf numFmtId="0" fontId="0" fillId="0" borderId="0" xfId="0" applyAlignment="1" applyProtection="1">
      <alignment horizontal="right"/>
    </xf>
    <xf numFmtId="10" fontId="0" fillId="0" borderId="0" xfId="0" applyNumberFormat="1" applyBorder="1" applyProtection="1"/>
    <xf numFmtId="0" fontId="0" fillId="0" borderId="23" xfId="0" applyBorder="1" applyProtection="1">
      <protection locked="0"/>
    </xf>
    <xf numFmtId="14" fontId="0" fillId="0" borderId="0" xfId="0" applyNumberFormat="1" applyBorder="1" applyAlignment="1" applyProtection="1"/>
    <xf numFmtId="0" fontId="4" fillId="0" borderId="24" xfId="0" applyFont="1" applyBorder="1" applyAlignment="1" applyProtection="1">
      <alignment horizontal="center" wrapText="1"/>
    </xf>
    <xf numFmtId="0" fontId="4" fillId="0" borderId="0" xfId="0" applyFont="1" applyBorder="1" applyAlignment="1"/>
    <xf numFmtId="0" fontId="0" fillId="0" borderId="1" xfId="0" applyBorder="1"/>
    <xf numFmtId="0" fontId="11" fillId="0" borderId="0" xfId="0" applyFont="1" applyBorder="1" applyAlignment="1">
      <alignment horizontal="center"/>
    </xf>
    <xf numFmtId="0" fontId="0" fillId="2" borderId="0" xfId="0" applyFill="1"/>
    <xf numFmtId="0" fontId="3" fillId="2" borderId="0" xfId="0" applyNumberFormat="1" applyFont="1" applyFill="1" applyBorder="1" applyAlignment="1">
      <alignment horizontal="left"/>
    </xf>
    <xf numFmtId="0" fontId="12" fillId="2" borderId="25" xfId="0" applyFont="1" applyFill="1" applyBorder="1" applyAlignment="1">
      <alignment horizontal="right"/>
    </xf>
    <xf numFmtId="165" fontId="3" fillId="0" borderId="10" xfId="0" applyNumberFormat="1" applyFont="1" applyBorder="1" applyAlignment="1">
      <alignment horizontal="right"/>
    </xf>
    <xf numFmtId="165" fontId="3" fillId="2" borderId="0" xfId="0" applyNumberFormat="1" applyFont="1" applyFill="1" applyBorder="1" applyAlignment="1">
      <alignment horizontal="left"/>
    </xf>
    <xf numFmtId="165" fontId="3" fillId="2" borderId="0" xfId="0" applyNumberFormat="1" applyFont="1" applyFill="1" applyBorder="1" applyAlignment="1">
      <alignment horizontal="right"/>
    </xf>
    <xf numFmtId="165" fontId="3" fillId="2" borderId="26" xfId="0" applyNumberFormat="1" applyFont="1" applyFill="1" applyBorder="1" applyAlignment="1">
      <alignment horizontal="right"/>
    </xf>
    <xf numFmtId="37" fontId="3" fillId="2" borderId="0" xfId="0" applyNumberFormat="1" applyFont="1" applyFill="1" applyBorder="1" applyAlignment="1">
      <alignment horizontal="right"/>
    </xf>
    <xf numFmtId="37" fontId="3" fillId="2" borderId="26" xfId="0" applyNumberFormat="1" applyFont="1" applyFill="1" applyBorder="1" applyAlignment="1">
      <alignment horizontal="right"/>
    </xf>
    <xf numFmtId="165" fontId="4" fillId="0" borderId="27" xfId="0" applyNumberFormat="1" applyFont="1" applyBorder="1" applyAlignment="1">
      <alignment horizontal="right"/>
    </xf>
    <xf numFmtId="165" fontId="4" fillId="0" borderId="10" xfId="0" applyNumberFormat="1" applyFont="1" applyBorder="1" applyAlignment="1">
      <alignment horizontal="right"/>
    </xf>
    <xf numFmtId="165" fontId="4" fillId="0" borderId="28" xfId="0" applyNumberFormat="1" applyFont="1" applyBorder="1" applyAlignment="1">
      <alignment horizontal="right"/>
    </xf>
    <xf numFmtId="0" fontId="13" fillId="0" borderId="29" xfId="0" applyFont="1" applyBorder="1" applyAlignment="1">
      <alignment horizontal="left" indent="2"/>
    </xf>
    <xf numFmtId="165" fontId="3" fillId="0" borderId="29" xfId="0" applyNumberFormat="1" applyFont="1" applyBorder="1" applyAlignment="1">
      <alignment horizontal="right"/>
    </xf>
    <xf numFmtId="0" fontId="0" fillId="2" borderId="0" xfId="0" applyFill="1" applyBorder="1" applyAlignment="1"/>
    <xf numFmtId="0" fontId="12" fillId="2" borderId="0" xfId="0" applyFont="1" applyFill="1" applyBorder="1" applyAlignment="1">
      <alignment horizontal="right"/>
    </xf>
    <xf numFmtId="0" fontId="0" fillId="0" borderId="3" xfId="0" applyBorder="1"/>
    <xf numFmtId="2" fontId="4" fillId="0" borderId="16" xfId="0" applyNumberFormat="1" applyFont="1" applyBorder="1" applyAlignment="1">
      <alignment horizontal="right"/>
    </xf>
    <xf numFmtId="2" fontId="4" fillId="0" borderId="10" xfId="0" applyNumberFormat="1" applyFont="1" applyBorder="1"/>
    <xf numFmtId="0" fontId="0" fillId="0" borderId="30" xfId="0" applyBorder="1"/>
    <xf numFmtId="0" fontId="0" fillId="0" borderId="30" xfId="0" applyBorder="1" applyAlignment="1">
      <alignment horizontal="right"/>
    </xf>
    <xf numFmtId="0" fontId="4" fillId="0" borderId="16" xfId="0" applyFont="1" applyBorder="1" applyAlignment="1">
      <alignment horizontal="right"/>
    </xf>
    <xf numFmtId="2" fontId="0" fillId="2" borderId="26" xfId="0" applyNumberFormat="1" applyFill="1" applyBorder="1"/>
    <xf numFmtId="0" fontId="4" fillId="0" borderId="16" xfId="0" applyFont="1" applyFill="1" applyBorder="1" applyAlignment="1">
      <alignment horizontal="right"/>
    </xf>
    <xf numFmtId="2" fontId="0" fillId="2" borderId="0" xfId="0" applyNumberFormat="1" applyFill="1" applyBorder="1"/>
    <xf numFmtId="0" fontId="0" fillId="0" borderId="30" xfId="0" applyFill="1" applyBorder="1" applyAlignment="1">
      <alignment horizontal="right"/>
    </xf>
    <xf numFmtId="0" fontId="0" fillId="0" borderId="31" xfId="0" applyBorder="1" applyAlignment="1">
      <alignment horizontal="right"/>
    </xf>
    <xf numFmtId="0" fontId="12" fillId="2" borderId="0" xfId="0" applyFont="1" applyFill="1" applyBorder="1" applyAlignment="1">
      <alignment horizontal="center"/>
    </xf>
    <xf numFmtId="0" fontId="0" fillId="0" borderId="0" xfId="0" applyFill="1" applyBorder="1" applyAlignment="1">
      <alignment horizontal="right"/>
    </xf>
    <xf numFmtId="2" fontId="0" fillId="0" borderId="0" xfId="0" applyNumberFormat="1" applyBorder="1"/>
    <xf numFmtId="0" fontId="4" fillId="0" borderId="0" xfId="0" applyFont="1" applyBorder="1" applyAlignment="1">
      <alignment horizontal="left" indent="1"/>
    </xf>
    <xf numFmtId="165" fontId="4" fillId="0" borderId="0" xfId="0" applyNumberFormat="1" applyFont="1" applyBorder="1" applyAlignment="1">
      <alignment horizontal="right"/>
    </xf>
    <xf numFmtId="0" fontId="3" fillId="0" borderId="0" xfId="0" applyFont="1" applyBorder="1"/>
    <xf numFmtId="165" fontId="3" fillId="0" borderId="0" xfId="0" applyNumberFormat="1" applyFont="1" applyBorder="1" applyAlignment="1">
      <alignment horizontal="right"/>
    </xf>
    <xf numFmtId="165" fontId="3" fillId="0" borderId="0" xfId="0" applyNumberFormat="1" applyFont="1" applyBorder="1"/>
    <xf numFmtId="165" fontId="4" fillId="0" borderId="0" xfId="0" applyNumberFormat="1" applyFont="1" applyBorder="1"/>
    <xf numFmtId="0" fontId="0" fillId="0" borderId="29" xfId="0" applyBorder="1"/>
    <xf numFmtId="0" fontId="0" fillId="5" borderId="35" xfId="0" applyFill="1" applyBorder="1" applyAlignment="1">
      <alignment horizontal="right"/>
    </xf>
    <xf numFmtId="0" fontId="0" fillId="5" borderId="16" xfId="0" applyFill="1" applyBorder="1" applyAlignment="1">
      <alignment horizontal="right"/>
    </xf>
    <xf numFmtId="0" fontId="0" fillId="5" borderId="26" xfId="0" applyFill="1" applyBorder="1" applyAlignment="1">
      <alignment horizontal="right"/>
    </xf>
    <xf numFmtId="165" fontId="4" fillId="0" borderId="45" xfId="0" applyNumberFormat="1" applyFont="1" applyBorder="1" applyAlignment="1">
      <alignment horizontal="right"/>
    </xf>
    <xf numFmtId="165" fontId="3" fillId="0" borderId="28" xfId="0" applyNumberFormat="1" applyFont="1" applyBorder="1" applyAlignment="1">
      <alignment horizontal="right"/>
    </xf>
    <xf numFmtId="0" fontId="12" fillId="2" borderId="16" xfId="0" applyFont="1" applyFill="1" applyBorder="1" applyAlignment="1">
      <alignment horizontal="center"/>
    </xf>
    <xf numFmtId="0" fontId="12" fillId="2" borderId="25" xfId="0" applyFont="1" applyFill="1" applyBorder="1" applyAlignment="1">
      <alignment horizontal="center"/>
    </xf>
    <xf numFmtId="0" fontId="0" fillId="0" borderId="23" xfId="0" applyBorder="1" applyAlignment="1">
      <alignment horizontal="right"/>
    </xf>
    <xf numFmtId="0" fontId="0" fillId="0" borderId="46" xfId="0" applyBorder="1"/>
    <xf numFmtId="14" fontId="0" fillId="0" borderId="0" xfId="0" applyNumberFormat="1"/>
    <xf numFmtId="165" fontId="3" fillId="0" borderId="22" xfId="0" applyNumberFormat="1" applyFont="1" applyBorder="1" applyAlignment="1">
      <alignment horizontal="right"/>
    </xf>
    <xf numFmtId="165" fontId="4" fillId="0" borderId="42" xfId="0" applyNumberFormat="1" applyFont="1" applyBorder="1" applyAlignment="1">
      <alignment horizontal="right"/>
    </xf>
    <xf numFmtId="165" fontId="0" fillId="5" borderId="35" xfId="0" applyNumberFormat="1" applyFill="1" applyBorder="1"/>
    <xf numFmtId="165" fontId="0" fillId="5" borderId="10" xfId="0" applyNumberFormat="1" applyFill="1" applyBorder="1"/>
    <xf numFmtId="165" fontId="0" fillId="5" borderId="8" xfId="0" applyNumberFormat="1" applyFill="1" applyBorder="1"/>
    <xf numFmtId="165" fontId="0" fillId="5" borderId="22" xfId="0" applyNumberFormat="1" applyFill="1" applyBorder="1"/>
    <xf numFmtId="165" fontId="4" fillId="5" borderId="34" xfId="0" applyNumberFormat="1" applyFont="1" applyFill="1" applyBorder="1"/>
    <xf numFmtId="165" fontId="4" fillId="5" borderId="28" xfId="0" applyNumberFormat="1" applyFont="1" applyFill="1" applyBorder="1"/>
    <xf numFmtId="165" fontId="0" fillId="0" borderId="16" xfId="0" applyNumberFormat="1" applyBorder="1"/>
    <xf numFmtId="165" fontId="0" fillId="0" borderId="10" xfId="0" applyNumberFormat="1" applyBorder="1"/>
    <xf numFmtId="165" fontId="4" fillId="0" borderId="38" xfId="0" applyNumberFormat="1" applyFont="1" applyBorder="1" applyAlignment="1">
      <alignment horizontal="right"/>
    </xf>
    <xf numFmtId="3" fontId="0" fillId="0" borderId="0" xfId="0" applyNumberFormat="1"/>
    <xf numFmtId="0" fontId="7" fillId="0" borderId="0" xfId="0" applyFont="1" applyFill="1" applyProtection="1">
      <protection locked="0"/>
    </xf>
    <xf numFmtId="14" fontId="0" fillId="0" borderId="1" xfId="0" applyNumberFormat="1" applyBorder="1" applyAlignment="1" applyProtection="1">
      <protection locked="0"/>
    </xf>
    <xf numFmtId="0" fontId="2" fillId="0" borderId="0" xfId="0" applyFont="1" applyAlignment="1" applyProtection="1">
      <alignment horizontal="center" vertical="top"/>
    </xf>
    <xf numFmtId="2" fontId="3" fillId="7" borderId="16" xfId="0" applyNumberFormat="1" applyFont="1" applyFill="1" applyBorder="1" applyAlignment="1">
      <alignment horizontal="right"/>
    </xf>
    <xf numFmtId="10" fontId="3" fillId="7" borderId="10" xfId="2" applyNumberFormat="1" applyFont="1" applyFill="1" applyBorder="1"/>
    <xf numFmtId="2" fontId="3" fillId="7" borderId="26" xfId="0" applyNumberFormat="1" applyFont="1" applyFill="1" applyBorder="1"/>
    <xf numFmtId="0" fontId="0" fillId="7" borderId="16" xfId="0" applyFill="1" applyBorder="1" applyAlignment="1">
      <alignment horizontal="right"/>
    </xf>
    <xf numFmtId="10" fontId="1" fillId="7" borderId="10" xfId="2" applyNumberFormat="1" applyFill="1" applyBorder="1"/>
    <xf numFmtId="2" fontId="0" fillId="7" borderId="26" xfId="0" applyNumberFormat="1" applyFill="1" applyBorder="1"/>
    <xf numFmtId="2" fontId="0" fillId="7" borderId="10" xfId="0" applyNumberFormat="1" applyFill="1" applyBorder="1"/>
    <xf numFmtId="2" fontId="0" fillId="7" borderId="16" xfId="0" applyNumberFormat="1" applyFill="1" applyBorder="1" applyAlignment="1">
      <alignment horizontal="right"/>
    </xf>
    <xf numFmtId="2" fontId="0" fillId="7" borderId="22" xfId="0" applyNumberFormat="1" applyFill="1" applyBorder="1"/>
    <xf numFmtId="0" fontId="0" fillId="7" borderId="34" xfId="0" applyFill="1" applyBorder="1" applyAlignment="1">
      <alignment horizontal="right"/>
    </xf>
    <xf numFmtId="10" fontId="1" fillId="7" borderId="28" xfId="2" applyNumberFormat="1" applyFill="1" applyBorder="1"/>
    <xf numFmtId="2" fontId="0" fillId="7" borderId="28" xfId="0" applyNumberFormat="1" applyFill="1" applyBorder="1"/>
    <xf numFmtId="3" fontId="0" fillId="2" borderId="21" xfId="0" applyNumberFormat="1" applyFill="1" applyBorder="1" applyProtection="1"/>
    <xf numFmtId="3" fontId="0" fillId="2" borderId="22" xfId="0" applyNumberFormat="1" applyFill="1" applyBorder="1" applyProtection="1"/>
    <xf numFmtId="0" fontId="0" fillId="0" borderId="50" xfId="0" applyNumberFormat="1" applyBorder="1" applyProtection="1">
      <protection locked="0"/>
    </xf>
    <xf numFmtId="0" fontId="0" fillId="0" borderId="5" xfId="0" applyNumberFormat="1" applyBorder="1" applyProtection="1">
      <protection locked="0"/>
    </xf>
    <xf numFmtId="0" fontId="0" fillId="0" borderId="9" xfId="0" applyNumberFormat="1" applyBorder="1" applyProtection="1">
      <protection locked="0"/>
    </xf>
    <xf numFmtId="0" fontId="0" fillId="0" borderId="51" xfId="0" applyNumberFormat="1" applyBorder="1" applyProtection="1">
      <protection locked="0"/>
    </xf>
    <xf numFmtId="0" fontId="0" fillId="0" borderId="52" xfId="0" applyNumberFormat="1" applyBorder="1" applyProtection="1">
      <protection locked="0"/>
    </xf>
    <xf numFmtId="0" fontId="0" fillId="0" borderId="53" xfId="0" applyBorder="1" applyProtection="1">
      <protection locked="0"/>
    </xf>
    <xf numFmtId="0" fontId="0" fillId="0" borderId="54" xfId="0" applyBorder="1" applyProtection="1">
      <protection locked="0"/>
    </xf>
    <xf numFmtId="0" fontId="0" fillId="0" borderId="52" xfId="0" applyBorder="1" applyProtection="1">
      <protection locked="0"/>
    </xf>
    <xf numFmtId="0" fontId="0" fillId="0" borderId="51" xfId="0" applyBorder="1" applyProtection="1">
      <protection locked="0"/>
    </xf>
    <xf numFmtId="0" fontId="0" fillId="0" borderId="55" xfId="0" applyBorder="1"/>
    <xf numFmtId="0" fontId="4" fillId="8" borderId="24" xfId="0" applyFont="1" applyFill="1" applyBorder="1" applyProtection="1"/>
    <xf numFmtId="10" fontId="0" fillId="9" borderId="56" xfId="0" applyNumberFormat="1" applyFill="1" applyBorder="1" applyProtection="1">
      <protection locked="0"/>
    </xf>
    <xf numFmtId="0" fontId="0" fillId="8" borderId="1" xfId="0" applyFill="1" applyBorder="1" applyProtection="1"/>
    <xf numFmtId="0" fontId="0" fillId="4" borderId="57" xfId="0" applyFill="1" applyBorder="1"/>
    <xf numFmtId="0" fontId="0" fillId="4" borderId="58" xfId="0" applyFill="1" applyBorder="1"/>
    <xf numFmtId="0" fontId="4" fillId="8" borderId="59" xfId="0" applyFont="1" applyFill="1" applyBorder="1" applyAlignment="1" applyProtection="1">
      <alignment horizontal="center"/>
    </xf>
    <xf numFmtId="0" fontId="4" fillId="8" borderId="24" xfId="0" applyFont="1" applyFill="1" applyBorder="1" applyAlignment="1" applyProtection="1">
      <alignment horizontal="center"/>
    </xf>
    <xf numFmtId="0" fontId="4" fillId="8" borderId="60" xfId="0" applyFont="1" applyFill="1" applyBorder="1" applyAlignment="1" applyProtection="1">
      <alignment horizontal="center"/>
    </xf>
    <xf numFmtId="0" fontId="0" fillId="0" borderId="61" xfId="0" applyBorder="1" applyProtection="1">
      <protection locked="0"/>
    </xf>
    <xf numFmtId="0" fontId="0" fillId="0" borderId="49" xfId="0" applyBorder="1" applyProtection="1">
      <protection locked="0"/>
    </xf>
    <xf numFmtId="3" fontId="0" fillId="0" borderId="6" xfId="0" applyNumberFormat="1" applyBorder="1" applyAlignment="1" applyProtection="1">
      <alignment horizontal="right"/>
      <protection locked="0"/>
    </xf>
    <xf numFmtId="0" fontId="0" fillId="0" borderId="6" xfId="0" applyBorder="1" applyAlignment="1" applyProtection="1">
      <alignment horizontal="right"/>
      <protection locked="0"/>
    </xf>
    <xf numFmtId="0" fontId="0" fillId="0" borderId="57" xfId="0" applyBorder="1" applyProtection="1">
      <protection locked="0"/>
    </xf>
    <xf numFmtId="3" fontId="0" fillId="2" borderId="57" xfId="0" applyNumberFormat="1" applyFill="1" applyBorder="1" applyProtection="1"/>
    <xf numFmtId="3" fontId="0" fillId="2" borderId="58" xfId="0" applyNumberFormat="1" applyFill="1" applyBorder="1" applyProtection="1"/>
    <xf numFmtId="0" fontId="0" fillId="0" borderId="7" xfId="0" applyNumberFormat="1" applyBorder="1" applyProtection="1">
      <protection locked="0"/>
    </xf>
    <xf numFmtId="0" fontId="3" fillId="0" borderId="6" xfId="0" applyFont="1" applyBorder="1" applyProtection="1">
      <protection locked="0"/>
    </xf>
    <xf numFmtId="3" fontId="0" fillId="2" borderId="62" xfId="0" applyNumberFormat="1" applyFill="1" applyBorder="1" applyProtection="1"/>
    <xf numFmtId="0" fontId="3" fillId="0" borderId="10" xfId="0" applyFont="1" applyBorder="1" applyProtection="1">
      <protection locked="0"/>
    </xf>
    <xf numFmtId="0" fontId="13" fillId="0" borderId="0" xfId="0" applyFont="1" applyBorder="1" applyAlignment="1">
      <alignment horizontal="left" indent="2"/>
    </xf>
    <xf numFmtId="165" fontId="3" fillId="2" borderId="48" xfId="0" applyNumberFormat="1" applyFont="1" applyFill="1" applyBorder="1" applyAlignment="1">
      <alignment horizontal="left"/>
    </xf>
    <xf numFmtId="165" fontId="3" fillId="2" borderId="48" xfId="0" applyNumberFormat="1" applyFont="1" applyFill="1" applyBorder="1" applyAlignment="1">
      <alignment horizontal="right"/>
    </xf>
    <xf numFmtId="165" fontId="3" fillId="2" borderId="16" xfId="0" applyNumberFormat="1" applyFont="1" applyFill="1" applyBorder="1" applyAlignment="1">
      <alignment horizontal="right"/>
    </xf>
    <xf numFmtId="0" fontId="16" fillId="0" borderId="0" xfId="0" applyFont="1" applyAlignment="1">
      <alignment horizontal="right" vertical="top" wrapText="1" readingOrder="1"/>
    </xf>
    <xf numFmtId="0" fontId="0" fillId="0" borderId="0" xfId="0"/>
    <xf numFmtId="0" fontId="3" fillId="0" borderId="0" xfId="0" applyFont="1"/>
    <xf numFmtId="49" fontId="0" fillId="0" borderId="0" xfId="0" applyNumberFormat="1" applyAlignment="1">
      <alignment vertical="top"/>
    </xf>
    <xf numFmtId="0" fontId="0" fillId="0" borderId="0" xfId="0" applyAlignment="1">
      <alignment vertical="top"/>
    </xf>
    <xf numFmtId="0" fontId="3" fillId="0" borderId="0" xfId="0" applyFont="1" applyAlignment="1" applyProtection="1">
      <alignment vertical="top"/>
    </xf>
    <xf numFmtId="49" fontId="0" fillId="0" borderId="0" xfId="0" applyNumberFormat="1" applyAlignment="1" applyProtection="1">
      <alignment vertical="top"/>
    </xf>
    <xf numFmtId="0" fontId="0" fillId="0" borderId="0" xfId="0" applyAlignment="1" applyProtection="1">
      <alignment vertical="top"/>
    </xf>
    <xf numFmtId="49" fontId="3" fillId="0" borderId="0" xfId="0" applyNumberFormat="1" applyFont="1" applyAlignment="1" applyProtection="1">
      <alignment horizontal="left" vertical="top"/>
    </xf>
    <xf numFmtId="0" fontId="0" fillId="0" borderId="0" xfId="0" applyNumberFormat="1" applyAlignment="1" applyProtection="1">
      <alignment horizontal="left" vertical="top"/>
    </xf>
    <xf numFmtId="49" fontId="0" fillId="0" borderId="0" xfId="0" applyNumberFormat="1" applyAlignment="1" applyProtection="1">
      <alignment horizontal="left" vertical="top"/>
    </xf>
    <xf numFmtId="0" fontId="0" fillId="0" borderId="0" xfId="0"/>
    <xf numFmtId="0" fontId="4" fillId="0" borderId="1" xfId="0" applyFont="1" applyBorder="1" applyAlignment="1"/>
    <xf numFmtId="0" fontId="0" fillId="0" borderId="0" xfId="0"/>
    <xf numFmtId="0" fontId="0" fillId="0" borderId="0" xfId="0"/>
    <xf numFmtId="0" fontId="0" fillId="0" borderId="0" xfId="0" applyAlignment="1">
      <alignment vertical="center" wrapText="1"/>
    </xf>
    <xf numFmtId="0" fontId="0" fillId="0" borderId="10" xfId="0" applyBorder="1" applyAlignment="1">
      <alignment vertical="center" wrapText="1"/>
    </xf>
    <xf numFmtId="165" fontId="0" fillId="0" borderId="10" xfId="0" applyNumberFormat="1" applyBorder="1" applyAlignment="1">
      <alignment vertical="center" wrapText="1"/>
    </xf>
    <xf numFmtId="165" fontId="0" fillId="0" borderId="10" xfId="0" applyNumberFormat="1" applyBorder="1" applyAlignment="1" applyProtection="1">
      <alignment vertical="center" wrapText="1"/>
    </xf>
    <xf numFmtId="165" fontId="0" fillId="12" borderId="10" xfId="0" applyNumberFormat="1" applyFill="1" applyBorder="1" applyAlignment="1" applyProtection="1">
      <alignment vertical="center" wrapText="1"/>
    </xf>
    <xf numFmtId="0" fontId="0" fillId="0" borderId="10" xfId="0" applyBorder="1" applyAlignment="1" applyProtection="1">
      <alignment vertical="center" wrapText="1"/>
    </xf>
    <xf numFmtId="0" fontId="3" fillId="0" borderId="10" xfId="0" applyNumberFormat="1" applyFont="1" applyBorder="1" applyAlignment="1" applyProtection="1">
      <alignment vertical="center" wrapText="1"/>
    </xf>
    <xf numFmtId="49" fontId="3" fillId="0" borderId="10" xfId="0" applyNumberFormat="1" applyFont="1" applyBorder="1" applyAlignment="1" applyProtection="1">
      <alignment vertical="center" wrapText="1"/>
    </xf>
    <xf numFmtId="0" fontId="3" fillId="0" borderId="10" xfId="0" applyFont="1" applyBorder="1" applyAlignment="1" applyProtection="1">
      <alignment horizontal="center" vertical="center" wrapText="1"/>
    </xf>
    <xf numFmtId="0" fontId="3" fillId="0" borderId="10" xfId="0" applyFont="1" applyBorder="1" applyAlignment="1" applyProtection="1">
      <alignment vertical="center" wrapText="1"/>
    </xf>
    <xf numFmtId="0" fontId="3" fillId="0" borderId="10" xfId="0" quotePrefix="1" applyFont="1" applyBorder="1" applyAlignment="1" applyProtection="1">
      <alignment vertical="center" wrapText="1"/>
    </xf>
    <xf numFmtId="0" fontId="0" fillId="0" borderId="10" xfId="0" applyBorder="1" applyAlignment="1" applyProtection="1">
      <alignment horizontal="center" vertical="center" wrapText="1"/>
    </xf>
    <xf numFmtId="49" fontId="3" fillId="0" borderId="10" xfId="0" applyNumberFormat="1" applyFont="1" applyBorder="1" applyAlignment="1" applyProtection="1">
      <alignment horizontal="right" vertical="center" wrapText="1"/>
    </xf>
    <xf numFmtId="165" fontId="0" fillId="0" borderId="10" xfId="0" applyNumberForma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0" xfId="0"/>
    <xf numFmtId="0" fontId="0" fillId="0" borderId="0" xfId="0"/>
    <xf numFmtId="0" fontId="13" fillId="0" borderId="27" xfId="0" applyFont="1" applyBorder="1" applyAlignment="1">
      <alignment horizontal="left" indent="2"/>
    </xf>
    <xf numFmtId="0" fontId="13" fillId="0" borderId="80" xfId="0" applyFont="1" applyBorder="1" applyAlignment="1">
      <alignment horizontal="left" indent="2"/>
    </xf>
    <xf numFmtId="0" fontId="4" fillId="2" borderId="25" xfId="0" applyFont="1" applyFill="1" applyBorder="1" applyAlignment="1">
      <alignment horizontal="left" indent="1"/>
    </xf>
    <xf numFmtId="0" fontId="0" fillId="0" borderId="43" xfId="0" applyBorder="1"/>
    <xf numFmtId="0" fontId="0" fillId="0" borderId="90" xfId="0" applyBorder="1"/>
    <xf numFmtId="0" fontId="23" fillId="0" borderId="87" xfId="0" applyFont="1" applyBorder="1" applyAlignment="1">
      <alignment vertical="center" wrapText="1"/>
    </xf>
    <xf numFmtId="0" fontId="23" fillId="0" borderId="0" xfId="0" applyFont="1" applyBorder="1" applyAlignment="1">
      <alignment vertical="center" wrapText="1"/>
    </xf>
    <xf numFmtId="0" fontId="0" fillId="0" borderId="0" xfId="0" applyAlignment="1">
      <alignment vertical="center"/>
    </xf>
    <xf numFmtId="14" fontId="23" fillId="0" borderId="0" xfId="0" applyNumberFormat="1" applyFont="1" applyBorder="1" applyAlignment="1">
      <alignment horizontal="center" vertical="center" wrapText="1"/>
    </xf>
    <xf numFmtId="49" fontId="3" fillId="0" borderId="83" xfId="0" applyNumberFormat="1" applyFont="1" applyBorder="1" applyAlignment="1">
      <alignment vertical="center"/>
    </xf>
    <xf numFmtId="0" fontId="0" fillId="0" borderId="83" xfId="0" applyBorder="1" applyAlignment="1">
      <alignment vertical="center"/>
    </xf>
    <xf numFmtId="0" fontId="0" fillId="0" borderId="89" xfId="0" applyBorder="1" applyAlignment="1">
      <alignment vertical="center"/>
    </xf>
    <xf numFmtId="0" fontId="0" fillId="0" borderId="43" xfId="0" applyBorder="1" applyAlignment="1">
      <alignment vertical="center"/>
    </xf>
    <xf numFmtId="49" fontId="3" fillId="0" borderId="94" xfId="0" applyNumberFormat="1" applyFont="1" applyBorder="1" applyAlignment="1">
      <alignment vertical="center"/>
    </xf>
    <xf numFmtId="0" fontId="23" fillId="0" borderId="25" xfId="0" applyFont="1" applyBorder="1" applyAlignment="1" applyProtection="1">
      <alignment horizontal="center" vertical="center" wrapText="1"/>
      <protection locked="0"/>
    </xf>
    <xf numFmtId="0" fontId="0" fillId="0" borderId="48" xfId="0" applyBorder="1" applyAlignment="1" applyProtection="1">
      <alignment horizontal="right"/>
      <protection locked="0"/>
    </xf>
    <xf numFmtId="49" fontId="3" fillId="13" borderId="94" xfId="0" applyNumberFormat="1" applyFont="1" applyFill="1" applyBorder="1" applyAlignment="1">
      <alignment vertical="center"/>
    </xf>
    <xf numFmtId="0" fontId="0" fillId="0" borderId="25" xfId="0" applyBorder="1" applyAlignment="1" applyProtection="1">
      <alignment horizontal="center"/>
      <protection locked="0"/>
    </xf>
    <xf numFmtId="0" fontId="0" fillId="0" borderId="66" xfId="0" applyBorder="1" applyAlignment="1" applyProtection="1"/>
    <xf numFmtId="0" fontId="13" fillId="0" borderId="16" xfId="0" applyFont="1" applyBorder="1" applyAlignment="1"/>
    <xf numFmtId="0" fontId="14" fillId="2" borderId="25" xfId="0" applyFont="1" applyFill="1" applyBorder="1" applyAlignment="1"/>
    <xf numFmtId="165" fontId="3" fillId="0" borderId="16" xfId="0" applyNumberFormat="1" applyFont="1" applyBorder="1" applyAlignment="1"/>
    <xf numFmtId="0" fontId="13" fillId="0" borderId="34" xfId="0" applyFont="1" applyBorder="1" applyAlignment="1"/>
    <xf numFmtId="0" fontId="0" fillId="0" borderId="0" xfId="0"/>
    <xf numFmtId="0" fontId="0" fillId="0" borderId="67" xfId="0" applyBorder="1" applyAlignment="1" applyProtection="1"/>
    <xf numFmtId="0" fontId="0" fillId="0" borderId="47" xfId="0" applyBorder="1" applyProtection="1">
      <protection locked="0"/>
    </xf>
    <xf numFmtId="0" fontId="0" fillId="14" borderId="70" xfId="0" applyFill="1" applyBorder="1" applyAlignment="1" applyProtection="1">
      <protection locked="0"/>
    </xf>
    <xf numFmtId="0" fontId="0" fillId="0" borderId="0" xfId="0" applyAlignment="1">
      <alignment wrapText="1" readingOrder="1"/>
    </xf>
    <xf numFmtId="0" fontId="0" fillId="0" borderId="0" xfId="0"/>
    <xf numFmtId="0" fontId="16" fillId="0" borderId="0" xfId="0" applyFont="1" applyAlignment="1">
      <alignment horizontal="left" wrapText="1" readingOrder="1"/>
    </xf>
    <xf numFmtId="0" fontId="16" fillId="0" borderId="0" xfId="0" applyFont="1" applyAlignment="1">
      <alignment wrapText="1" readingOrder="1"/>
    </xf>
    <xf numFmtId="0" fontId="1" fillId="0" borderId="0" xfId="0" applyFont="1"/>
    <xf numFmtId="0" fontId="0" fillId="0" borderId="0" xfId="0" applyAlignment="1">
      <alignment horizontal="left" vertical="top"/>
    </xf>
    <xf numFmtId="0" fontId="0" fillId="0" borderId="0" xfId="0"/>
    <xf numFmtId="0" fontId="0" fillId="0" borderId="0" xfId="0"/>
    <xf numFmtId="0" fontId="0" fillId="0" borderId="0" xfId="0"/>
    <xf numFmtId="0" fontId="0" fillId="0" borderId="0" xfId="0" applyBorder="1" applyAlignment="1"/>
    <xf numFmtId="0" fontId="0" fillId="0" borderId="0" xfId="0"/>
    <xf numFmtId="0" fontId="0" fillId="0" borderId="66" xfId="0" applyBorder="1" applyProtection="1">
      <protection locked="0"/>
    </xf>
    <xf numFmtId="0" fontId="0" fillId="0" borderId="70" xfId="0" applyBorder="1" applyProtection="1">
      <protection locked="0"/>
    </xf>
    <xf numFmtId="0" fontId="0" fillId="0" borderId="78" xfId="0" applyBorder="1" applyProtection="1">
      <protection locked="0"/>
    </xf>
    <xf numFmtId="0" fontId="4" fillId="0" borderId="0" xfId="0" applyFont="1" applyBorder="1" applyAlignment="1">
      <alignment horizontal="right"/>
    </xf>
    <xf numFmtId="0" fontId="0" fillId="0" borderId="0" xfId="0"/>
    <xf numFmtId="0" fontId="0" fillId="0" borderId="0" xfId="0" applyAlignment="1"/>
    <xf numFmtId="0" fontId="0" fillId="0" borderId="0" xfId="0" applyBorder="1" applyAlignment="1"/>
    <xf numFmtId="0" fontId="0" fillId="0" borderId="46" xfId="0" applyBorder="1" applyProtection="1">
      <protection locked="0"/>
    </xf>
    <xf numFmtId="0" fontId="0" fillId="0" borderId="101" xfId="0" applyBorder="1" applyProtection="1">
      <protection locked="0"/>
    </xf>
    <xf numFmtId="0" fontId="0" fillId="0" borderId="68" xfId="0" applyBorder="1" applyProtection="1">
      <protection locked="0"/>
    </xf>
    <xf numFmtId="3" fontId="0" fillId="2" borderId="18" xfId="0" applyNumberFormat="1" applyFill="1" applyBorder="1" applyProtection="1"/>
    <xf numFmtId="0" fontId="0" fillId="0" borderId="9" xfId="0" applyBorder="1"/>
    <xf numFmtId="3" fontId="0" fillId="2" borderId="45" xfId="0" applyNumberFormat="1" applyFill="1" applyBorder="1" applyProtection="1"/>
    <xf numFmtId="3" fontId="0" fillId="2" borderId="27" xfId="0" applyNumberFormat="1" applyFill="1" applyBorder="1" applyProtection="1"/>
    <xf numFmtId="3" fontId="0" fillId="2" borderId="72" xfId="0" applyNumberFormat="1" applyFill="1" applyBorder="1" applyProtection="1"/>
    <xf numFmtId="3" fontId="0" fillId="0" borderId="17" xfId="0" applyNumberFormat="1" applyBorder="1" applyAlignment="1" applyProtection="1">
      <protection locked="0"/>
    </xf>
    <xf numFmtId="3" fontId="0" fillId="0" borderId="12" xfId="0" applyNumberFormat="1" applyBorder="1" applyAlignment="1" applyProtection="1">
      <protection locked="0"/>
    </xf>
    <xf numFmtId="3" fontId="0" fillId="0" borderId="15" xfId="0" applyNumberFormat="1" applyBorder="1" applyAlignment="1" applyProtection="1">
      <protection locked="0"/>
    </xf>
    <xf numFmtId="3" fontId="0" fillId="0" borderId="2" xfId="0" applyNumberFormat="1" applyBorder="1" applyAlignment="1" applyProtection="1">
      <protection locked="0"/>
    </xf>
    <xf numFmtId="3" fontId="0" fillId="0" borderId="15" xfId="0" applyNumberFormat="1" applyFill="1" applyBorder="1" applyAlignment="1" applyProtection="1">
      <protection locked="0"/>
    </xf>
    <xf numFmtId="3" fontId="0" fillId="0" borderId="2" xfId="0" applyNumberFormat="1" applyFill="1" applyBorder="1" applyAlignment="1" applyProtection="1">
      <protection locked="0"/>
    </xf>
    <xf numFmtId="3" fontId="6" fillId="2" borderId="76" xfId="0" applyNumberFormat="1" applyFont="1" applyFill="1" applyBorder="1" applyAlignment="1"/>
    <xf numFmtId="3" fontId="6" fillId="2" borderId="12" xfId="0" applyNumberFormat="1" applyFont="1" applyFill="1" applyBorder="1" applyAlignment="1"/>
    <xf numFmtId="3" fontId="6" fillId="2" borderId="17" xfId="0" applyNumberFormat="1" applyFont="1" applyFill="1" applyBorder="1" applyAlignment="1"/>
    <xf numFmtId="3" fontId="6" fillId="2" borderId="77" xfId="0" applyNumberFormat="1" applyFont="1" applyFill="1" applyBorder="1" applyAlignment="1"/>
    <xf numFmtId="0" fontId="1" fillId="0" borderId="0" xfId="3"/>
    <xf numFmtId="3" fontId="1" fillId="0" borderId="77" xfId="3" applyNumberFormat="1" applyBorder="1"/>
    <xf numFmtId="3" fontId="1" fillId="0" borderId="79" xfId="3" applyNumberFormat="1" applyBorder="1"/>
    <xf numFmtId="3" fontId="1" fillId="0" borderId="76" xfId="3" applyNumberFormat="1" applyBorder="1"/>
    <xf numFmtId="0" fontId="1" fillId="0" borderId="0" xfId="3" applyFont="1" applyAlignment="1">
      <alignment horizontal="right"/>
    </xf>
    <xf numFmtId="3" fontId="1" fillId="0" borderId="0" xfId="3" applyNumberFormat="1" applyBorder="1"/>
    <xf numFmtId="3" fontId="1" fillId="0" borderId="0" xfId="3" applyNumberFormat="1" applyFill="1" applyBorder="1"/>
    <xf numFmtId="3" fontId="1" fillId="0" borderId="18" xfId="3" applyNumberFormat="1" applyBorder="1"/>
    <xf numFmtId="3" fontId="1" fillId="0" borderId="13" xfId="3" applyNumberFormat="1" applyFill="1" applyBorder="1"/>
    <xf numFmtId="3" fontId="1" fillId="0" borderId="61" xfId="3" applyNumberFormat="1" applyFill="1" applyBorder="1"/>
    <xf numFmtId="0" fontId="1" fillId="0" borderId="0" xfId="3" applyFill="1" applyAlignment="1">
      <alignment horizontal="right"/>
    </xf>
    <xf numFmtId="0" fontId="4" fillId="0" borderId="0" xfId="3" applyFont="1"/>
    <xf numFmtId="3" fontId="1" fillId="0" borderId="15" xfId="3" applyNumberFormat="1" applyBorder="1"/>
    <xf numFmtId="3" fontId="1" fillId="0" borderId="10" xfId="3" applyNumberFormat="1" applyFill="1" applyBorder="1"/>
    <xf numFmtId="3" fontId="1" fillId="0" borderId="2" xfId="3" applyNumberFormat="1" applyFill="1" applyBorder="1"/>
    <xf numFmtId="4" fontId="1" fillId="0" borderId="0" xfId="3" applyNumberFormat="1"/>
    <xf numFmtId="0" fontId="1" fillId="0" borderId="0" xfId="3" applyFill="1"/>
    <xf numFmtId="3" fontId="1" fillId="0" borderId="10" xfId="3" applyNumberFormat="1" applyBorder="1"/>
    <xf numFmtId="3" fontId="1" fillId="0" borderId="2" xfId="3" applyNumberFormat="1" applyBorder="1"/>
    <xf numFmtId="10" fontId="1" fillId="0" borderId="10" xfId="3" applyNumberFormat="1" applyBorder="1"/>
    <xf numFmtId="10" fontId="1" fillId="0" borderId="2" xfId="3" applyNumberFormat="1" applyBorder="1"/>
    <xf numFmtId="0" fontId="1" fillId="0" borderId="0" xfId="3" applyAlignment="1">
      <alignment horizontal="right"/>
    </xf>
    <xf numFmtId="0" fontId="1" fillId="0" borderId="0" xfId="3" applyBorder="1" applyAlignment="1">
      <alignment horizontal="right"/>
    </xf>
    <xf numFmtId="0" fontId="1" fillId="0" borderId="0" xfId="3" applyFont="1" applyFill="1" applyAlignment="1">
      <alignment horizontal="right"/>
    </xf>
    <xf numFmtId="0" fontId="4" fillId="0" borderId="0" xfId="3" applyFont="1" applyAlignment="1">
      <alignment horizontal="right"/>
    </xf>
    <xf numFmtId="0" fontId="4" fillId="0" borderId="0" xfId="3" applyFont="1" applyFill="1"/>
    <xf numFmtId="0" fontId="1" fillId="0" borderId="77" xfId="3" applyBorder="1"/>
    <xf numFmtId="0" fontId="1" fillId="0" borderId="79" xfId="3" applyBorder="1"/>
    <xf numFmtId="0" fontId="1" fillId="0" borderId="76" xfId="3" applyBorder="1"/>
    <xf numFmtId="0" fontId="32" fillId="0" borderId="0" xfId="3" applyFont="1" applyAlignment="1">
      <alignment horizontal="left" vertical="top"/>
    </xf>
    <xf numFmtId="0" fontId="33" fillId="0" borderId="0" xfId="3" applyFont="1" applyFill="1" applyAlignment="1">
      <alignment horizontal="right" vertical="top"/>
    </xf>
    <xf numFmtId="3" fontId="1" fillId="0" borderId="0" xfId="3" applyNumberFormat="1"/>
    <xf numFmtId="14" fontId="1" fillId="0" borderId="0" xfId="3" applyNumberFormat="1"/>
    <xf numFmtId="165" fontId="0" fillId="0" borderId="0" xfId="0" applyNumberFormat="1" applyBorder="1"/>
    <xf numFmtId="3" fontId="0" fillId="2" borderId="69" xfId="0" applyNumberFormat="1" applyFill="1" applyBorder="1" applyProtection="1"/>
    <xf numFmtId="3" fontId="0" fillId="2" borderId="74" xfId="0" applyNumberFormat="1" applyFill="1" applyBorder="1" applyProtection="1"/>
    <xf numFmtId="3" fontId="0" fillId="2" borderId="60" xfId="0" applyNumberFormat="1" applyFill="1" applyBorder="1" applyAlignment="1" applyProtection="1">
      <alignment horizontal="right"/>
    </xf>
    <xf numFmtId="3" fontId="0" fillId="2" borderId="37" xfId="0" applyNumberFormat="1" applyFill="1" applyBorder="1" applyProtection="1"/>
    <xf numFmtId="3" fontId="0" fillId="2" borderId="72" xfId="0" applyNumberFormat="1" applyFill="1" applyBorder="1" applyAlignment="1" applyProtection="1">
      <alignment horizontal="right"/>
    </xf>
    <xf numFmtId="3" fontId="0" fillId="2" borderId="64" xfId="0" applyNumberFormat="1" applyFill="1" applyBorder="1" applyAlignment="1" applyProtection="1">
      <alignment horizontal="right"/>
    </xf>
    <xf numFmtId="3" fontId="1" fillId="0" borderId="0" xfId="0" applyNumberFormat="1" applyFont="1"/>
    <xf numFmtId="0" fontId="1" fillId="0" borderId="6" xfId="0" applyFont="1" applyBorder="1" applyProtection="1">
      <protection locked="0"/>
    </xf>
    <xf numFmtId="3" fontId="0" fillId="0" borderId="0" xfId="0" applyNumberFormat="1" applyFill="1" applyBorder="1" applyAlignment="1" applyProtection="1">
      <alignment horizontal="right"/>
    </xf>
    <xf numFmtId="0" fontId="4" fillId="0" borderId="0" xfId="0" applyFont="1" applyAlignment="1" applyProtection="1">
      <alignment horizontal="center" wrapText="1"/>
    </xf>
    <xf numFmtId="0" fontId="0" fillId="0" borderId="0" xfId="0"/>
    <xf numFmtId="0" fontId="4" fillId="0" borderId="1" xfId="0" applyFont="1" applyBorder="1" applyAlignment="1">
      <alignment horizontal="center"/>
    </xf>
    <xf numFmtId="0" fontId="4" fillId="0" borderId="0" xfId="0" applyFont="1" applyBorder="1" applyAlignment="1">
      <alignment horizontal="center"/>
    </xf>
    <xf numFmtId="0" fontId="0" fillId="0" borderId="0" xfId="0"/>
    <xf numFmtId="0" fontId="34" fillId="0" borderId="0" xfId="0" applyFont="1" applyProtection="1">
      <protection hidden="1"/>
    </xf>
    <xf numFmtId="165" fontId="35" fillId="0" borderId="0" xfId="0" applyNumberFormat="1" applyFont="1" applyBorder="1" applyProtection="1">
      <protection hidden="1"/>
    </xf>
    <xf numFmtId="0" fontId="34" fillId="0" borderId="0" xfId="0" applyFont="1" applyAlignment="1" applyProtection="1">
      <alignment horizontal="center" wrapText="1"/>
    </xf>
    <xf numFmtId="0" fontId="35" fillId="0" borderId="0" xfId="0" applyFont="1"/>
    <xf numFmtId="0" fontId="35" fillId="0" borderId="0" xfId="0" applyFont="1" applyAlignment="1">
      <alignment horizontal="right"/>
    </xf>
    <xf numFmtId="0" fontId="0" fillId="0" borderId="0" xfId="0"/>
    <xf numFmtId="0" fontId="39" fillId="0" borderId="0" xfId="0" applyFont="1"/>
    <xf numFmtId="3" fontId="1" fillId="0" borderId="10" xfId="0" applyNumberFormat="1" applyFont="1" applyBorder="1" applyAlignment="1" applyProtection="1">
      <alignment horizontal="right"/>
      <protection locked="0"/>
    </xf>
    <xf numFmtId="0" fontId="1" fillId="0" borderId="9" xfId="0" applyFont="1" applyBorder="1" applyProtection="1">
      <protection locked="0"/>
    </xf>
    <xf numFmtId="0" fontId="1" fillId="0" borderId="7" xfId="0" applyFont="1" applyBorder="1" applyProtection="1">
      <protection locked="0"/>
    </xf>
    <xf numFmtId="3" fontId="1" fillId="2" borderId="6" xfId="0" applyNumberFormat="1" applyFont="1" applyFill="1" applyBorder="1" applyProtection="1"/>
    <xf numFmtId="3" fontId="1" fillId="2" borderId="10" xfId="0" applyNumberFormat="1" applyFont="1" applyFill="1" applyBorder="1" applyProtection="1"/>
    <xf numFmtId="3" fontId="1" fillId="2" borderId="13" xfId="0" applyNumberFormat="1" applyFont="1" applyFill="1" applyBorder="1" applyProtection="1"/>
    <xf numFmtId="0" fontId="1" fillId="0" borderId="10" xfId="0" applyFont="1" applyBorder="1" applyAlignment="1" applyProtection="1">
      <alignment horizontal="right"/>
      <protection locked="0"/>
    </xf>
    <xf numFmtId="0" fontId="35" fillId="0" borderId="0" xfId="0" applyFont="1" applyProtection="1"/>
    <xf numFmtId="0" fontId="1" fillId="0" borderId="0" xfId="3" applyProtection="1"/>
    <xf numFmtId="0" fontId="38" fillId="0" borderId="0" xfId="3" applyFont="1" applyProtection="1"/>
    <xf numFmtId="0" fontId="35" fillId="0" borderId="0" xfId="3" applyFont="1" applyProtection="1"/>
    <xf numFmtId="0" fontId="4" fillId="0" borderId="0" xfId="3" applyFont="1" applyAlignment="1" applyProtection="1">
      <alignment horizontal="right"/>
    </xf>
    <xf numFmtId="0" fontId="4" fillId="0" borderId="0" xfId="3" applyFont="1" applyProtection="1"/>
    <xf numFmtId="14" fontId="1" fillId="0" borderId="0" xfId="3" applyNumberFormat="1" applyProtection="1"/>
    <xf numFmtId="0" fontId="36" fillId="0" borderId="0" xfId="3" applyFont="1" applyProtection="1"/>
    <xf numFmtId="0" fontId="32" fillId="0" borderId="0" xfId="3" applyFont="1" applyAlignment="1" applyProtection="1">
      <alignment horizontal="left" vertical="top"/>
    </xf>
    <xf numFmtId="3" fontId="1" fillId="0" borderId="0" xfId="3" applyNumberFormat="1" applyProtection="1"/>
    <xf numFmtId="0" fontId="1" fillId="0" borderId="0" xfId="3" applyFill="1" applyProtection="1"/>
    <xf numFmtId="0" fontId="33" fillId="0" borderId="0" xfId="3" applyFont="1" applyFill="1" applyAlignment="1" applyProtection="1">
      <alignment horizontal="right" vertical="top"/>
    </xf>
    <xf numFmtId="0" fontId="1" fillId="0" borderId="0" xfId="3" applyFont="1" applyAlignment="1" applyProtection="1">
      <alignment horizontal="right"/>
    </xf>
    <xf numFmtId="0" fontId="1" fillId="0" borderId="76" xfId="3" applyBorder="1" applyProtection="1"/>
    <xf numFmtId="0" fontId="1" fillId="0" borderId="77" xfId="3" applyBorder="1" applyProtection="1"/>
    <xf numFmtId="3" fontId="35" fillId="0" borderId="0" xfId="3" applyNumberFormat="1" applyFont="1" applyProtection="1"/>
    <xf numFmtId="0" fontId="1" fillId="0" borderId="0" xfId="3" applyFont="1" applyFill="1" applyAlignment="1" applyProtection="1">
      <alignment horizontal="right"/>
    </xf>
    <xf numFmtId="0" fontId="4" fillId="0" borderId="0" xfId="3" applyFont="1" applyFill="1" applyProtection="1"/>
    <xf numFmtId="0" fontId="1" fillId="0" borderId="0" xfId="3" applyBorder="1" applyAlignment="1" applyProtection="1">
      <alignment horizontal="right"/>
    </xf>
    <xf numFmtId="3" fontId="1" fillId="0" borderId="2" xfId="3" applyNumberFormat="1" applyFill="1" applyBorder="1" applyProtection="1"/>
    <xf numFmtId="3" fontId="1" fillId="0" borderId="10" xfId="3" applyNumberFormat="1" applyFill="1" applyBorder="1" applyProtection="1"/>
    <xf numFmtId="3" fontId="1" fillId="0" borderId="15" xfId="3" applyNumberFormat="1" applyBorder="1" applyProtection="1"/>
    <xf numFmtId="0" fontId="1" fillId="0" borderId="0" xfId="3" applyAlignment="1" applyProtection="1">
      <alignment horizontal="right"/>
    </xf>
    <xf numFmtId="3" fontId="1" fillId="0" borderId="2" xfId="3" applyNumberFormat="1" applyBorder="1" applyProtection="1"/>
    <xf numFmtId="3" fontId="1" fillId="0" borderId="10" xfId="3" applyNumberFormat="1" applyBorder="1" applyProtection="1"/>
    <xf numFmtId="10" fontId="1" fillId="0" borderId="2" xfId="3" applyNumberFormat="1" applyBorder="1" applyProtection="1"/>
    <xf numFmtId="10" fontId="1" fillId="0" borderId="10" xfId="3" applyNumberFormat="1" applyBorder="1" applyProtection="1"/>
    <xf numFmtId="4" fontId="1" fillId="0" borderId="0" xfId="3" applyNumberFormat="1" applyProtection="1"/>
    <xf numFmtId="0" fontId="1" fillId="0" borderId="0" xfId="3" applyFill="1" applyAlignment="1" applyProtection="1">
      <alignment horizontal="right"/>
    </xf>
    <xf numFmtId="3" fontId="1" fillId="0" borderId="61" xfId="3" applyNumberFormat="1" applyFill="1" applyBorder="1" applyProtection="1"/>
    <xf numFmtId="3" fontId="1" fillId="0" borderId="13" xfId="3" applyNumberFormat="1" applyFill="1" applyBorder="1" applyProtection="1"/>
    <xf numFmtId="3" fontId="1" fillId="0" borderId="18" xfId="3" applyNumberFormat="1" applyBorder="1" applyProtection="1"/>
    <xf numFmtId="3" fontId="1" fillId="0" borderId="0" xfId="3" applyNumberFormat="1" applyBorder="1" applyProtection="1"/>
    <xf numFmtId="3" fontId="1" fillId="0" borderId="0" xfId="3" applyNumberFormat="1" applyFill="1" applyBorder="1" applyProtection="1"/>
    <xf numFmtId="3" fontId="1" fillId="0" borderId="76" xfId="3" applyNumberFormat="1" applyBorder="1" applyProtection="1"/>
    <xf numFmtId="3" fontId="1" fillId="0" borderId="79" xfId="3" applyNumberFormat="1" applyBorder="1" applyProtection="1"/>
    <xf numFmtId="3" fontId="1" fillId="0" borderId="77" xfId="3" applyNumberFormat="1" applyBorder="1" applyProtection="1"/>
    <xf numFmtId="0" fontId="31" fillId="0" borderId="0" xfId="3" applyFont="1" applyProtection="1"/>
    <xf numFmtId="0" fontId="29" fillId="0" borderId="0" xfId="3" applyFont="1" applyProtection="1"/>
    <xf numFmtId="0" fontId="29" fillId="0" borderId="102" xfId="3" applyFont="1" applyBorder="1" applyProtection="1"/>
    <xf numFmtId="0" fontId="29" fillId="0" borderId="36" xfId="3" applyFont="1" applyBorder="1" applyProtection="1"/>
    <xf numFmtId="0" fontId="29" fillId="0" borderId="37" xfId="3" applyFont="1" applyBorder="1" applyProtection="1"/>
    <xf numFmtId="0" fontId="29" fillId="0" borderId="0" xfId="3" applyFont="1" applyBorder="1" applyProtection="1"/>
    <xf numFmtId="0" fontId="29" fillId="0" borderId="26" xfId="3" applyFont="1" applyBorder="1" applyProtection="1"/>
    <xf numFmtId="0" fontId="29" fillId="0" borderId="45" xfId="3" applyFont="1" applyBorder="1" applyProtection="1"/>
    <xf numFmtId="0" fontId="29" fillId="0" borderId="25" xfId="3" applyFont="1" applyBorder="1" applyProtection="1"/>
    <xf numFmtId="0" fontId="29" fillId="0" borderId="35" xfId="3" applyFont="1" applyBorder="1" applyProtection="1"/>
    <xf numFmtId="0" fontId="3" fillId="0" borderId="9" xfId="0" applyFont="1" applyFill="1" applyBorder="1" applyAlignment="1">
      <alignment horizontal="left"/>
    </xf>
    <xf numFmtId="0" fontId="1" fillId="0" borderId="9" xfId="0" applyFont="1" applyFill="1" applyBorder="1" applyAlignment="1">
      <alignment horizontal="left"/>
    </xf>
    <xf numFmtId="0" fontId="1" fillId="0" borderId="9" xfId="0" applyFont="1" applyFill="1" applyBorder="1" applyAlignment="1"/>
    <xf numFmtId="0" fontId="3" fillId="0" borderId="9" xfId="0" applyFont="1" applyFill="1" applyBorder="1" applyAlignment="1"/>
    <xf numFmtId="0" fontId="3" fillId="0" borderId="7" xfId="0" applyFont="1" applyFill="1" applyBorder="1" applyAlignment="1">
      <alignment horizontal="left"/>
    </xf>
    <xf numFmtId="0" fontId="4" fillId="2" borderId="4" xfId="0" applyFont="1" applyFill="1" applyBorder="1" applyAlignment="1"/>
    <xf numFmtId="0" fontId="12" fillId="2" borderId="105" xfId="0" applyFont="1" applyFill="1" applyBorder="1" applyAlignment="1">
      <alignment horizontal="right"/>
    </xf>
    <xf numFmtId="0" fontId="12" fillId="2" borderId="79" xfId="0" applyFont="1" applyFill="1" applyBorder="1" applyAlignment="1">
      <alignment horizontal="right"/>
    </xf>
    <xf numFmtId="0" fontId="12" fillId="2" borderId="106" xfId="0" applyFont="1" applyFill="1" applyBorder="1" applyAlignment="1">
      <alignment horizontal="right"/>
    </xf>
    <xf numFmtId="0" fontId="12" fillId="2" borderId="4" xfId="0" applyFont="1" applyFill="1" applyBorder="1" applyAlignment="1">
      <alignment horizontal="right"/>
    </xf>
    <xf numFmtId="0" fontId="3" fillId="0" borderId="51" xfId="0" applyFont="1" applyFill="1" applyBorder="1" applyAlignment="1"/>
    <xf numFmtId="0" fontId="4" fillId="0" borderId="0" xfId="0" applyFont="1" applyBorder="1" applyAlignment="1">
      <alignment horizontal="center"/>
    </xf>
    <xf numFmtId="0" fontId="0" fillId="0" borderId="0" xfId="0"/>
    <xf numFmtId="165" fontId="0" fillId="0" borderId="35" xfId="0" applyNumberFormat="1" applyBorder="1"/>
    <xf numFmtId="165" fontId="0" fillId="0" borderId="8" xfId="0" applyNumberFormat="1" applyBorder="1"/>
    <xf numFmtId="165" fontId="0" fillId="0" borderId="45" xfId="0" applyNumberFormat="1" applyBorder="1"/>
    <xf numFmtId="165" fontId="0" fillId="0" borderId="7" xfId="0" applyNumberFormat="1" applyBorder="1"/>
    <xf numFmtId="165" fontId="0" fillId="0" borderId="27" xfId="0" applyNumberFormat="1" applyBorder="1"/>
    <xf numFmtId="165" fontId="0" fillId="0" borderId="9" xfId="0" applyNumberFormat="1" applyBorder="1"/>
    <xf numFmtId="165" fontId="0" fillId="0" borderId="36" xfId="0" applyNumberFormat="1" applyBorder="1"/>
    <xf numFmtId="165" fontId="0" fillId="0" borderId="22" xfId="0" applyNumberFormat="1" applyBorder="1"/>
    <xf numFmtId="165" fontId="0" fillId="0" borderId="103" xfId="0" applyNumberFormat="1" applyBorder="1"/>
    <xf numFmtId="165" fontId="0" fillId="0" borderId="51" xfId="0" applyNumberFormat="1" applyBorder="1"/>
    <xf numFmtId="165" fontId="4" fillId="2" borderId="105" xfId="0" applyNumberFormat="1" applyFont="1" applyFill="1" applyBorder="1" applyAlignment="1"/>
    <xf numFmtId="165" fontId="4" fillId="2" borderId="4" xfId="0" applyNumberFormat="1" applyFont="1" applyFill="1" applyBorder="1" applyAlignment="1"/>
    <xf numFmtId="3" fontId="1" fillId="0" borderId="20" xfId="0" applyNumberFormat="1" applyFont="1" applyBorder="1" applyAlignment="1" applyProtection="1">
      <protection locked="0"/>
    </xf>
    <xf numFmtId="3" fontId="1" fillId="0" borderId="16" xfId="0" applyNumberFormat="1" applyFont="1" applyBorder="1" applyAlignment="1" applyProtection="1">
      <protection locked="0"/>
    </xf>
    <xf numFmtId="3" fontId="1" fillId="0" borderId="15" xfId="0" applyNumberFormat="1" applyFont="1" applyBorder="1" applyAlignment="1" applyProtection="1">
      <protection locked="0"/>
    </xf>
    <xf numFmtId="3" fontId="1" fillId="0" borderId="16" xfId="0" applyNumberFormat="1" applyFont="1" applyFill="1" applyBorder="1" applyAlignment="1" applyProtection="1">
      <protection locked="0"/>
    </xf>
    <xf numFmtId="3" fontId="1" fillId="0" borderId="15" xfId="0" applyNumberFormat="1" applyFont="1" applyFill="1" applyBorder="1" applyAlignment="1" applyProtection="1">
      <protection locked="0"/>
    </xf>
    <xf numFmtId="3" fontId="1" fillId="0" borderId="35" xfId="0" applyNumberFormat="1" applyFont="1" applyBorder="1" applyAlignment="1" applyProtection="1">
      <protection locked="0"/>
    </xf>
    <xf numFmtId="0" fontId="30" fillId="0" borderId="103" xfId="3" applyFont="1" applyBorder="1" applyProtection="1"/>
    <xf numFmtId="0" fontId="29" fillId="0" borderId="37" xfId="3" applyFont="1" applyBorder="1" applyAlignment="1" applyProtection="1">
      <alignment horizontal="left" indent="2"/>
    </xf>
    <xf numFmtId="0" fontId="40" fillId="0" borderId="0" xfId="4" applyAlignment="1">
      <alignment horizontal="left" indent="2"/>
    </xf>
    <xf numFmtId="0" fontId="30" fillId="0" borderId="37" xfId="3" applyFont="1" applyBorder="1" applyAlignment="1" applyProtection="1">
      <alignment horizontal="left"/>
    </xf>
    <xf numFmtId="0" fontId="0" fillId="0" borderId="48" xfId="0" applyBorder="1" applyAlignment="1" applyProtection="1"/>
    <xf numFmtId="0" fontId="0" fillId="0" borderId="0" xfId="0"/>
    <xf numFmtId="165" fontId="4" fillId="2" borderId="24" xfId="0" applyNumberFormat="1" applyFont="1" applyFill="1" applyBorder="1" applyAlignment="1"/>
    <xf numFmtId="0" fontId="3" fillId="16" borderId="9" xfId="0" applyFont="1" applyFill="1" applyBorder="1" applyAlignment="1"/>
    <xf numFmtId="165" fontId="0" fillId="16" borderId="16" xfId="0" applyNumberFormat="1" applyFill="1" applyBorder="1"/>
    <xf numFmtId="165" fontId="0" fillId="16" borderId="10" xfId="0" applyNumberFormat="1" applyFill="1" applyBorder="1"/>
    <xf numFmtId="165" fontId="0" fillId="16" borderId="27" xfId="0" applyNumberFormat="1" applyFill="1" applyBorder="1"/>
    <xf numFmtId="165" fontId="0" fillId="16" borderId="9" xfId="0" applyNumberFormat="1" applyFill="1" applyBorder="1"/>
    <xf numFmtId="0" fontId="0" fillId="0" borderId="0" xfId="0"/>
    <xf numFmtId="0" fontId="0" fillId="0" borderId="0" xfId="0"/>
    <xf numFmtId="0" fontId="38" fillId="0" borderId="0" xfId="0" applyFont="1" applyBorder="1"/>
    <xf numFmtId="0" fontId="38" fillId="0" borderId="0" xfId="0" applyFont="1" applyAlignment="1"/>
    <xf numFmtId="0" fontId="38" fillId="0" borderId="0" xfId="0" applyFont="1"/>
    <xf numFmtId="0" fontId="1" fillId="0" borderId="0" xfId="3" applyFont="1" applyProtection="1"/>
    <xf numFmtId="0" fontId="1" fillId="0" borderId="0" xfId="3" applyFont="1"/>
    <xf numFmtId="0" fontId="35" fillId="0" borderId="0" xfId="3" applyFont="1"/>
    <xf numFmtId="0" fontId="4" fillId="0" borderId="0" xfId="0" applyFont="1" applyBorder="1" applyAlignment="1" applyProtection="1">
      <alignment horizontal="center" wrapText="1"/>
    </xf>
    <xf numFmtId="0" fontId="0" fillId="0" borderId="0" xfId="0"/>
    <xf numFmtId="0" fontId="0" fillId="0" borderId="0" xfId="0"/>
    <xf numFmtId="10" fontId="0" fillId="17" borderId="0" xfId="0" applyNumberFormat="1" applyFill="1"/>
    <xf numFmtId="0" fontId="0" fillId="0" borderId="0" xfId="0"/>
    <xf numFmtId="0" fontId="0" fillId="0" borderId="0" xfId="0"/>
    <xf numFmtId="0" fontId="0" fillId="0" borderId="0" xfId="0"/>
    <xf numFmtId="0" fontId="0" fillId="0" borderId="0" xfId="0"/>
    <xf numFmtId="0" fontId="0" fillId="0" borderId="0" xfId="0"/>
    <xf numFmtId="0" fontId="1" fillId="0" borderId="10" xfId="0" applyFont="1" applyBorder="1" applyProtection="1">
      <protection locked="0"/>
    </xf>
    <xf numFmtId="0" fontId="0" fillId="0" borderId="0" xfId="0"/>
    <xf numFmtId="10" fontId="41" fillId="0" borderId="0" xfId="0" applyNumberFormat="1" applyFont="1" applyFill="1"/>
    <xf numFmtId="10" fontId="41" fillId="0" borderId="0" xfId="2" applyNumberFormat="1" applyFont="1" applyFill="1"/>
    <xf numFmtId="0" fontId="0" fillId="0" borderId="0" xfId="0"/>
    <xf numFmtId="3" fontId="6" fillId="2" borderId="53" xfId="0" applyNumberFormat="1" applyFont="1" applyFill="1" applyBorder="1" applyAlignment="1"/>
    <xf numFmtId="3" fontId="6" fillId="2" borderId="50" xfId="0" applyNumberFormat="1" applyFont="1" applyFill="1" applyBorder="1" applyAlignment="1"/>
    <xf numFmtId="3" fontId="6" fillId="2" borderId="58" xfId="0" applyNumberFormat="1" applyFont="1" applyFill="1" applyBorder="1" applyAlignment="1"/>
    <xf numFmtId="3" fontId="6" fillId="2" borderId="14" xfId="0" applyNumberFormat="1" applyFont="1" applyFill="1" applyBorder="1" applyAlignment="1"/>
    <xf numFmtId="3" fontId="6" fillId="2" borderId="5" xfId="0" applyNumberFormat="1" applyFont="1" applyFill="1" applyBorder="1" applyAlignment="1"/>
    <xf numFmtId="3" fontId="6" fillId="2" borderId="4" xfId="0" applyNumberFormat="1" applyFont="1" applyFill="1" applyBorder="1" applyAlignment="1"/>
    <xf numFmtId="3" fontId="6" fillId="2" borderId="9" xfId="0" applyNumberFormat="1" applyFont="1" applyFill="1" applyBorder="1" applyAlignment="1"/>
    <xf numFmtId="165" fontId="4" fillId="5" borderId="32" xfId="0" applyNumberFormat="1" applyFont="1" applyFill="1" applyBorder="1"/>
    <xf numFmtId="165" fontId="4" fillId="5" borderId="39" xfId="0" applyNumberFormat="1" applyFont="1" applyFill="1" applyBorder="1"/>
    <xf numFmtId="0" fontId="34" fillId="0" borderId="0" xfId="0" applyFont="1" applyAlignment="1">
      <alignment horizontal="center" wrapText="1"/>
    </xf>
    <xf numFmtId="0" fontId="35" fillId="18" borderId="10" xfId="0" applyFont="1" applyFill="1" applyBorder="1" applyAlignment="1" applyProtection="1">
      <alignment horizontal="right"/>
    </xf>
    <xf numFmtId="0" fontId="35" fillId="0" borderId="0" xfId="0" applyFont="1" applyFill="1" applyBorder="1" applyAlignment="1" applyProtection="1"/>
    <xf numFmtId="0" fontId="3" fillId="0" borderId="0" xfId="0" applyFont="1" applyBorder="1" applyAlignment="1" applyProtection="1">
      <alignment horizontal="right" vertical="top"/>
      <protection locked="0"/>
    </xf>
    <xf numFmtId="0" fontId="35" fillId="0" borderId="10" xfId="0" applyFont="1" applyFill="1" applyBorder="1" applyAlignment="1" applyProtection="1">
      <alignment horizontal="right"/>
    </xf>
    <xf numFmtId="0" fontId="34" fillId="0" borderId="0" xfId="0" applyFont="1" applyAlignment="1">
      <alignment horizontal="right"/>
    </xf>
    <xf numFmtId="0" fontId="42" fillId="0" borderId="27" xfId="0" applyFont="1" applyBorder="1" applyAlignment="1">
      <alignment horizontal="left" indent="2"/>
    </xf>
    <xf numFmtId="165" fontId="16" fillId="0" borderId="16" xfId="0" applyNumberFormat="1" applyFont="1" applyBorder="1" applyAlignment="1"/>
    <xf numFmtId="165" fontId="16" fillId="0" borderId="10" xfId="0" applyNumberFormat="1" applyFont="1" applyBorder="1" applyAlignment="1">
      <alignment horizontal="right"/>
    </xf>
    <xf numFmtId="0" fontId="42" fillId="0" borderId="16" xfId="0" applyFont="1" applyBorder="1" applyAlignment="1"/>
    <xf numFmtId="165" fontId="16" fillId="2" borderId="0" xfId="0" applyNumberFormat="1" applyFont="1" applyFill="1" applyBorder="1" applyAlignment="1">
      <alignment horizontal="left"/>
    </xf>
    <xf numFmtId="165" fontId="16" fillId="2" borderId="0" xfId="0" applyNumberFormat="1" applyFont="1" applyFill="1" applyBorder="1" applyAlignment="1">
      <alignment horizontal="right"/>
    </xf>
    <xf numFmtId="165" fontId="16" fillId="2" borderId="26" xfId="0" applyNumberFormat="1" applyFont="1" applyFill="1" applyBorder="1" applyAlignment="1">
      <alignment horizontal="right"/>
    </xf>
    <xf numFmtId="0" fontId="16" fillId="2" borderId="0" xfId="0" applyNumberFormat="1" applyFont="1" applyFill="1" applyBorder="1" applyAlignment="1">
      <alignment horizontal="left"/>
    </xf>
    <xf numFmtId="37" fontId="16" fillId="2" borderId="0" xfId="0" applyNumberFormat="1" applyFont="1" applyFill="1" applyBorder="1" applyAlignment="1">
      <alignment horizontal="right"/>
    </xf>
    <xf numFmtId="37" fontId="16" fillId="2" borderId="26" xfId="0" applyNumberFormat="1" applyFont="1" applyFill="1" applyBorder="1" applyAlignment="1">
      <alignment horizontal="right"/>
    </xf>
    <xf numFmtId="0" fontId="42" fillId="0" borderId="80" xfId="0" applyFont="1" applyBorder="1" applyAlignment="1">
      <alignment horizontal="left" indent="2"/>
    </xf>
    <xf numFmtId="0" fontId="42" fillId="0" borderId="34" xfId="0" applyFont="1" applyBorder="1" applyAlignment="1"/>
    <xf numFmtId="165" fontId="16" fillId="0" borderId="28" xfId="0" applyNumberFormat="1" applyFont="1" applyBorder="1" applyAlignment="1">
      <alignment horizontal="right"/>
    </xf>
    <xf numFmtId="165" fontId="15" fillId="0" borderId="40" xfId="0" applyNumberFormat="1" applyFont="1" applyBorder="1" applyAlignment="1">
      <alignment horizontal="right"/>
    </xf>
    <xf numFmtId="165" fontId="15" fillId="0" borderId="42" xfId="0" applyNumberFormat="1" applyFont="1" applyBorder="1" applyAlignment="1">
      <alignment horizontal="right"/>
    </xf>
    <xf numFmtId="165" fontId="15" fillId="0" borderId="27" xfId="0" applyNumberFormat="1" applyFont="1" applyBorder="1" applyAlignment="1">
      <alignment horizontal="right"/>
    </xf>
    <xf numFmtId="165" fontId="15" fillId="0" borderId="10" xfId="0" applyNumberFormat="1" applyFont="1" applyBorder="1" applyAlignment="1">
      <alignment horizontal="right"/>
    </xf>
    <xf numFmtId="165" fontId="15" fillId="0" borderId="28" xfId="0" applyNumberFormat="1" applyFont="1" applyBorder="1" applyAlignment="1">
      <alignment horizontal="right"/>
    </xf>
    <xf numFmtId="0" fontId="15" fillId="2" borderId="0" xfId="0" applyFont="1" applyFill="1" applyBorder="1" applyAlignment="1">
      <alignment horizontal="right"/>
    </xf>
    <xf numFmtId="0" fontId="15" fillId="2" borderId="25" xfId="0" applyFont="1" applyFill="1" applyBorder="1" applyAlignment="1">
      <alignment horizontal="right"/>
    </xf>
    <xf numFmtId="165" fontId="16" fillId="0" borderId="22" xfId="0" applyNumberFormat="1" applyFont="1" applyFill="1" applyBorder="1" applyAlignment="1">
      <alignment horizontal="right"/>
    </xf>
    <xf numFmtId="165" fontId="16" fillId="0" borderId="10" xfId="0" applyNumberFormat="1" applyFont="1" applyFill="1" applyBorder="1" applyAlignment="1">
      <alignment horizontal="right"/>
    </xf>
    <xf numFmtId="165" fontId="15" fillId="0" borderId="22" xfId="0" applyNumberFormat="1" applyFont="1" applyFill="1" applyBorder="1" applyAlignment="1">
      <alignment horizontal="right"/>
    </xf>
    <xf numFmtId="165" fontId="15" fillId="0" borderId="10" xfId="0" applyNumberFormat="1" applyFont="1" applyFill="1" applyBorder="1" applyAlignment="1">
      <alignment horizontal="right"/>
    </xf>
    <xf numFmtId="165" fontId="15" fillId="0" borderId="28" xfId="0" applyNumberFormat="1" applyFont="1" applyFill="1" applyBorder="1" applyAlignment="1">
      <alignment horizontal="right"/>
    </xf>
    <xf numFmtId="165" fontId="15" fillId="0" borderId="33" xfId="0" applyNumberFormat="1" applyFont="1" applyBorder="1" applyAlignment="1">
      <alignment horizontal="right"/>
    </xf>
    <xf numFmtId="165" fontId="15" fillId="0" borderId="34" xfId="0" applyNumberFormat="1" applyFont="1" applyBorder="1" applyAlignment="1">
      <alignment horizontal="right"/>
    </xf>
    <xf numFmtId="165" fontId="15" fillId="0" borderId="28" xfId="0" applyNumberFormat="1" applyFont="1" applyBorder="1"/>
    <xf numFmtId="165" fontId="15" fillId="0" borderId="10" xfId="0" applyNumberFormat="1" applyFont="1" applyBorder="1"/>
    <xf numFmtId="0" fontId="16" fillId="0" borderId="29" xfId="0" applyFont="1" applyBorder="1"/>
    <xf numFmtId="165" fontId="16" fillId="0" borderId="29" xfId="0" applyNumberFormat="1" applyFont="1" applyBorder="1"/>
    <xf numFmtId="164" fontId="16" fillId="2" borderId="25" xfId="0" applyNumberFormat="1" applyFont="1" applyFill="1" applyBorder="1" applyAlignment="1">
      <alignment horizontal="right"/>
    </xf>
    <xf numFmtId="10" fontId="16" fillId="2" borderId="25" xfId="0" applyNumberFormat="1" applyFont="1" applyFill="1" applyBorder="1" applyAlignment="1">
      <alignment horizontal="right" indent="1"/>
    </xf>
    <xf numFmtId="0" fontId="15" fillId="2" borderId="66" xfId="0" applyFont="1" applyFill="1" applyBorder="1" applyAlignment="1"/>
    <xf numFmtId="0" fontId="16" fillId="2" borderId="48" xfId="0" applyFont="1" applyFill="1" applyBorder="1" applyAlignment="1">
      <alignment horizontal="right"/>
    </xf>
    <xf numFmtId="10" fontId="16" fillId="2" borderId="10" xfId="0" applyNumberFormat="1" applyFont="1" applyFill="1" applyBorder="1" applyAlignment="1"/>
    <xf numFmtId="0" fontId="16" fillId="2" borderId="10" xfId="0" applyFont="1" applyFill="1" applyBorder="1" applyAlignment="1"/>
    <xf numFmtId="165" fontId="16" fillId="0" borderId="16" xfId="0" applyNumberFormat="1" applyFont="1" applyBorder="1"/>
    <xf numFmtId="165" fontId="16" fillId="0" borderId="10" xfId="0" applyNumberFormat="1" applyFont="1" applyBorder="1"/>
    <xf numFmtId="165" fontId="16" fillId="0" borderId="34" xfId="0" applyNumberFormat="1" applyFont="1" applyBorder="1"/>
    <xf numFmtId="165" fontId="16" fillId="0" borderId="28" xfId="0" applyNumberFormat="1" applyFont="1" applyBorder="1"/>
    <xf numFmtId="0" fontId="16" fillId="0" borderId="38" xfId="0" applyFont="1" applyBorder="1"/>
    <xf numFmtId="0" fontId="16" fillId="0" borderId="40" xfId="0" applyFont="1" applyBorder="1"/>
    <xf numFmtId="165" fontId="16" fillId="0" borderId="41" xfId="0" applyNumberFormat="1" applyFont="1" applyBorder="1"/>
    <xf numFmtId="165" fontId="16" fillId="0" borderId="42" xfId="0" applyNumberFormat="1" applyFont="1" applyBorder="1"/>
    <xf numFmtId="165" fontId="16" fillId="0" borderId="40" xfId="0" applyNumberFormat="1" applyFont="1" applyBorder="1"/>
    <xf numFmtId="165" fontId="16" fillId="0" borderId="44" xfId="1" applyNumberFormat="1" applyFont="1" applyBorder="1" applyAlignment="1">
      <alignment horizontal="right"/>
    </xf>
    <xf numFmtId="165" fontId="16" fillId="0" borderId="39" xfId="0" applyNumberFormat="1" applyFont="1" applyBorder="1" applyAlignment="1">
      <alignment horizontal="right"/>
    </xf>
    <xf numFmtId="0" fontId="16" fillId="0" borderId="37" xfId="0" applyFont="1" applyBorder="1"/>
    <xf numFmtId="165" fontId="16" fillId="0" borderId="35" xfId="0" applyNumberFormat="1" applyFont="1" applyBorder="1"/>
    <xf numFmtId="165" fontId="16" fillId="0" borderId="39" xfId="0" applyNumberFormat="1" applyFont="1" applyBorder="1"/>
    <xf numFmtId="0" fontId="42" fillId="0" borderId="40" xfId="0" applyFont="1" applyFill="1" applyBorder="1" applyAlignment="1"/>
    <xf numFmtId="0" fontId="42" fillId="0" borderId="26" xfId="0" applyFont="1" applyFill="1" applyBorder="1" applyAlignment="1"/>
    <xf numFmtId="165" fontId="16" fillId="0" borderId="42" xfId="0" applyNumberFormat="1" applyFont="1" applyFill="1" applyBorder="1"/>
    <xf numFmtId="0" fontId="16" fillId="0" borderId="0" xfId="0" applyFont="1"/>
    <xf numFmtId="0" fontId="15" fillId="0" borderId="0" xfId="0" applyFont="1" applyAlignment="1"/>
    <xf numFmtId="0" fontId="15" fillId="0" borderId="0" xfId="0" applyFont="1"/>
    <xf numFmtId="0" fontId="15" fillId="0" borderId="0" xfId="0" applyFont="1" applyAlignment="1">
      <alignment horizontal="right"/>
    </xf>
    <xf numFmtId="14" fontId="16" fillId="0" borderId="0" xfId="0" applyNumberFormat="1" applyFont="1"/>
    <xf numFmtId="10" fontId="16" fillId="0" borderId="0" xfId="0" applyNumberFormat="1" applyFont="1"/>
    <xf numFmtId="3" fontId="16" fillId="0" borderId="0" xfId="0" applyNumberFormat="1" applyFont="1"/>
    <xf numFmtId="0" fontId="16" fillId="0" borderId="0" xfId="0" applyFont="1" applyAlignment="1">
      <alignment vertical="top" wrapText="1" readingOrder="1"/>
    </xf>
    <xf numFmtId="0" fontId="19" fillId="0" borderId="0" xfId="0" applyFont="1" applyAlignment="1">
      <alignment horizontal="center" wrapText="1" readingOrder="1"/>
    </xf>
    <xf numFmtId="0" fontId="16" fillId="0" borderId="0" xfId="0" applyFont="1" applyAlignment="1">
      <alignment horizontal="center" wrapText="1" readingOrder="1"/>
    </xf>
    <xf numFmtId="0" fontId="19" fillId="0" borderId="0" xfId="0" applyFont="1" applyAlignment="1">
      <alignment wrapText="1" readingOrder="1"/>
    </xf>
    <xf numFmtId="0" fontId="16" fillId="10" borderId="0" xfId="0" applyFont="1" applyFill="1" applyAlignment="1">
      <alignment wrapText="1" readingOrder="1"/>
    </xf>
    <xf numFmtId="0" fontId="16" fillId="0" borderId="0" xfId="0" applyFont="1" applyAlignment="1">
      <alignment wrapText="1" readingOrder="1"/>
    </xf>
    <xf numFmtId="0" fontId="16" fillId="2" borderId="0" xfId="0" applyFont="1" applyFill="1" applyAlignment="1">
      <alignment wrapText="1" readingOrder="1"/>
    </xf>
    <xf numFmtId="0" fontId="16" fillId="6" borderId="0" xfId="0" applyFont="1" applyFill="1" applyAlignment="1">
      <alignment wrapText="1" readingOrder="1"/>
    </xf>
    <xf numFmtId="0" fontId="0" fillId="0" borderId="0" xfId="0" applyAlignment="1">
      <alignment horizontal="left" wrapText="1" readingOrder="1"/>
    </xf>
    <xf numFmtId="0" fontId="0" fillId="0" borderId="0" xfId="0" applyAlignment="1">
      <alignment wrapText="1" readingOrder="1"/>
    </xf>
    <xf numFmtId="0" fontId="4" fillId="0" borderId="0" xfId="0" applyFont="1" applyAlignment="1" applyProtection="1">
      <alignment horizontal="left"/>
    </xf>
    <xf numFmtId="0" fontId="0" fillId="8" borderId="55" xfId="0" applyFill="1" applyBorder="1" applyAlignment="1" applyProtection="1">
      <alignment wrapText="1"/>
    </xf>
    <xf numFmtId="0" fontId="0" fillId="0" borderId="11" xfId="0" applyBorder="1"/>
    <xf numFmtId="0" fontId="0" fillId="0" borderId="46" xfId="0" applyBorder="1"/>
    <xf numFmtId="0" fontId="0" fillId="0" borderId="63" xfId="0" applyBorder="1"/>
    <xf numFmtId="0" fontId="0" fillId="0" borderId="0" xfId="0"/>
    <xf numFmtId="0" fontId="0" fillId="0" borderId="14" xfId="0" applyBorder="1"/>
    <xf numFmtId="0" fontId="0" fillId="0" borderId="64" xfId="0" applyBorder="1"/>
    <xf numFmtId="0" fontId="0" fillId="0" borderId="1" xfId="0" applyBorder="1"/>
    <xf numFmtId="0" fontId="0" fillId="0" borderId="54" xfId="0" applyBorder="1"/>
    <xf numFmtId="0" fontId="21" fillId="8" borderId="55" xfId="0" applyFont="1" applyFill="1" applyBorder="1" applyAlignment="1" applyProtection="1">
      <alignment horizontal="center" vertical="top"/>
    </xf>
    <xf numFmtId="0" fontId="21" fillId="8" borderId="11" xfId="0" applyFont="1" applyFill="1" applyBorder="1" applyAlignment="1" applyProtection="1">
      <alignment horizontal="center" vertical="top"/>
    </xf>
    <xf numFmtId="0" fontId="21" fillId="8" borderId="46" xfId="0" applyFont="1" applyFill="1" applyBorder="1" applyAlignment="1" applyProtection="1">
      <alignment horizontal="center" vertical="top"/>
    </xf>
    <xf numFmtId="0" fontId="21" fillId="8" borderId="64" xfId="0" applyFont="1" applyFill="1" applyBorder="1" applyAlignment="1" applyProtection="1">
      <alignment horizontal="center" vertical="top"/>
    </xf>
    <xf numFmtId="0" fontId="21" fillId="8" borderId="1" xfId="0" applyFont="1" applyFill="1" applyBorder="1" applyAlignment="1" applyProtection="1">
      <alignment horizontal="center" vertical="top"/>
    </xf>
    <xf numFmtId="0" fontId="21" fillId="8" borderId="54" xfId="0" applyFont="1" applyFill="1" applyBorder="1" applyAlignment="1" applyProtection="1">
      <alignment horizontal="center" vertical="top"/>
    </xf>
    <xf numFmtId="0" fontId="2" fillId="0" borderId="0" xfId="0" applyFont="1" applyAlignment="1" applyProtection="1">
      <alignment horizontal="center"/>
    </xf>
    <xf numFmtId="0" fontId="4" fillId="0" borderId="0" xfId="0" applyFont="1" applyAlignment="1" applyProtection="1"/>
    <xf numFmtId="0" fontId="4" fillId="0" borderId="11" xfId="0" applyFont="1" applyBorder="1" applyAlignment="1"/>
    <xf numFmtId="0" fontId="4" fillId="0" borderId="0" xfId="0" applyFont="1" applyAlignment="1" applyProtection="1">
      <alignment horizontal="center" vertical="center"/>
    </xf>
    <xf numFmtId="0" fontId="34" fillId="0" borderId="0" xfId="0" applyFont="1" applyAlignment="1" applyProtection="1">
      <alignment horizontal="right"/>
    </xf>
    <xf numFmtId="0" fontId="34" fillId="0" borderId="0" xfId="0" applyFont="1" applyBorder="1" applyAlignment="1" applyProtection="1">
      <alignment horizontal="right"/>
    </xf>
    <xf numFmtId="0" fontId="4" fillId="0" borderId="0" xfId="0" applyFont="1" applyAlignment="1" applyProtection="1">
      <alignment horizontal="right" vertical="top"/>
    </xf>
    <xf numFmtId="0" fontId="4" fillId="0" borderId="0" xfId="0" applyFont="1" applyBorder="1" applyAlignment="1" applyProtection="1">
      <alignment horizontal="right" vertical="top"/>
    </xf>
    <xf numFmtId="0" fontId="4" fillId="0" borderId="63" xfId="0" applyFont="1" applyBorder="1" applyAlignment="1"/>
    <xf numFmtId="0" fontId="4" fillId="0" borderId="0" xfId="0" applyFont="1" applyBorder="1" applyAlignment="1"/>
    <xf numFmtId="0" fontId="4" fillId="0" borderId="0" xfId="0" applyFont="1" applyBorder="1" applyAlignment="1">
      <alignment horizontal="right"/>
    </xf>
    <xf numFmtId="0" fontId="4" fillId="0" borderId="14" xfId="0" applyFont="1" applyBorder="1" applyAlignment="1">
      <alignment horizontal="right"/>
    </xf>
    <xf numFmtId="0" fontId="4" fillId="0" borderId="11" xfId="0" applyFont="1" applyBorder="1" applyAlignment="1">
      <alignment horizontal="right"/>
    </xf>
    <xf numFmtId="0" fontId="4" fillId="0" borderId="46" xfId="0" applyFont="1" applyBorder="1" applyAlignment="1">
      <alignment horizontal="right"/>
    </xf>
    <xf numFmtId="0" fontId="4" fillId="0" borderId="0" xfId="0" applyFont="1" applyAlignment="1"/>
    <xf numFmtId="0" fontId="0" fillId="0" borderId="0" xfId="0" applyAlignment="1"/>
    <xf numFmtId="0" fontId="0" fillId="0" borderId="70" xfId="0" applyBorder="1" applyAlignment="1" applyProtection="1"/>
    <xf numFmtId="0" fontId="0" fillId="0" borderId="65" xfId="0" applyBorder="1" applyAlignment="1" applyProtection="1"/>
    <xf numFmtId="0" fontId="0" fillId="0" borderId="20" xfId="0" applyBorder="1" applyAlignment="1" applyProtection="1"/>
    <xf numFmtId="0" fontId="0" fillId="0" borderId="66" xfId="0" applyBorder="1" applyAlignment="1" applyProtection="1"/>
    <xf numFmtId="0" fontId="0" fillId="0" borderId="48" xfId="0" applyBorder="1" applyAlignment="1" applyProtection="1"/>
    <xf numFmtId="0" fontId="0" fillId="0" borderId="16" xfId="0" applyBorder="1" applyAlignment="1" applyProtection="1"/>
    <xf numFmtId="0" fontId="0" fillId="0" borderId="16" xfId="0" applyBorder="1" applyAlignment="1" applyProtection="1">
      <alignment horizontal="right"/>
    </xf>
    <xf numFmtId="0" fontId="1" fillId="0" borderId="66" xfId="0" applyFont="1" applyBorder="1" applyAlignment="1" applyProtection="1"/>
    <xf numFmtId="0" fontId="0" fillId="0" borderId="0" xfId="0" applyBorder="1" applyAlignment="1">
      <alignment horizontal="right"/>
    </xf>
    <xf numFmtId="0" fontId="0" fillId="0" borderId="14" xfId="0" applyBorder="1" applyAlignment="1">
      <alignment horizontal="right"/>
    </xf>
    <xf numFmtId="0" fontId="1" fillId="0" borderId="2" xfId="0" applyFont="1" applyBorder="1" applyAlignment="1" applyProtection="1"/>
    <xf numFmtId="0" fontId="0" fillId="0" borderId="10" xfId="0" applyBorder="1" applyAlignment="1" applyProtection="1"/>
    <xf numFmtId="0" fontId="0" fillId="0" borderId="2" xfId="0" applyBorder="1" applyAlignment="1" applyProtection="1"/>
    <xf numFmtId="0" fontId="0" fillId="0" borderId="61" xfId="0" applyBorder="1" applyAlignment="1" applyProtection="1"/>
    <xf numFmtId="0" fontId="0" fillId="0" borderId="13" xfId="0" applyBorder="1" applyAlignment="1" applyProtection="1"/>
    <xf numFmtId="0" fontId="0" fillId="0" borderId="2" xfId="0" applyNumberFormat="1" applyBorder="1" applyAlignment="1" applyProtection="1">
      <protection locked="0"/>
    </xf>
    <xf numFmtId="0" fontId="0" fillId="0" borderId="15" xfId="0" applyNumberFormat="1" applyBorder="1" applyAlignment="1" applyProtection="1">
      <protection locked="0"/>
    </xf>
    <xf numFmtId="0" fontId="4" fillId="0" borderId="0" xfId="0" applyFont="1" applyAlignment="1" applyProtection="1">
      <alignment horizontal="center" wrapText="1"/>
    </xf>
    <xf numFmtId="0" fontId="0" fillId="0" borderId="70" xfId="0" applyNumberFormat="1" applyBorder="1" applyAlignment="1" applyProtection="1">
      <protection locked="0"/>
    </xf>
    <xf numFmtId="0" fontId="0" fillId="0" borderId="104" xfId="0" applyNumberFormat="1" applyBorder="1" applyAlignment="1" applyProtection="1">
      <protection locked="0"/>
    </xf>
    <xf numFmtId="0" fontId="0" fillId="0" borderId="12" xfId="0" applyNumberFormat="1" applyBorder="1" applyAlignment="1" applyProtection="1">
      <protection locked="0"/>
    </xf>
    <xf numFmtId="0" fontId="0" fillId="0" borderId="17" xfId="0" applyNumberFormat="1" applyBorder="1" applyAlignment="1" applyProtection="1">
      <protection locked="0"/>
    </xf>
    <xf numFmtId="0" fontId="4" fillId="0" borderId="0" xfId="0" applyFont="1" applyAlignment="1" applyProtection="1">
      <alignment wrapText="1"/>
    </xf>
    <xf numFmtId="0" fontId="0" fillId="0" borderId="67" xfId="0" applyBorder="1" applyAlignment="1"/>
    <xf numFmtId="0" fontId="0" fillId="0" borderId="68" xfId="0" applyBorder="1" applyAlignment="1"/>
    <xf numFmtId="0" fontId="0" fillId="0" borderId="66" xfId="0" applyBorder="1" applyAlignment="1"/>
    <xf numFmtId="0" fontId="0" fillId="0" borderId="47" xfId="0" applyBorder="1" applyAlignment="1"/>
    <xf numFmtId="0" fontId="4" fillId="0" borderId="0" xfId="0" applyFont="1" applyAlignment="1" applyProtection="1">
      <alignment vertical="center"/>
    </xf>
    <xf numFmtId="0" fontId="0" fillId="0" borderId="2" xfId="0" applyBorder="1" applyAlignment="1" applyProtection="1">
      <protection locked="0"/>
    </xf>
    <xf numFmtId="0" fontId="0" fillId="0" borderId="15" xfId="0" applyBorder="1" applyAlignment="1" applyProtection="1">
      <protection locked="0"/>
    </xf>
    <xf numFmtId="0" fontId="0" fillId="0" borderId="12" xfId="0" applyBorder="1" applyAlignment="1" applyProtection="1">
      <protection locked="0"/>
    </xf>
    <xf numFmtId="0" fontId="0" fillId="0" borderId="17" xfId="0" applyBorder="1" applyAlignment="1" applyProtection="1">
      <protection locked="0"/>
    </xf>
    <xf numFmtId="0" fontId="0" fillId="8" borderId="11" xfId="0" applyFill="1" applyBorder="1" applyAlignment="1" applyProtection="1">
      <alignment wrapText="1"/>
    </xf>
    <xf numFmtId="0" fontId="0" fillId="8" borderId="46" xfId="0" applyFill="1" applyBorder="1" applyAlignment="1" applyProtection="1">
      <alignment wrapText="1"/>
    </xf>
    <xf numFmtId="0" fontId="0" fillId="8" borderId="63" xfId="0" applyFill="1" applyBorder="1" applyAlignment="1" applyProtection="1">
      <alignment wrapText="1"/>
    </xf>
    <xf numFmtId="0" fontId="0" fillId="8" borderId="0" xfId="0" applyFill="1" applyBorder="1" applyAlignment="1" applyProtection="1">
      <alignment wrapText="1"/>
    </xf>
    <xf numFmtId="0" fontId="0" fillId="8" borderId="14" xfId="0" applyFill="1" applyBorder="1" applyAlignment="1" applyProtection="1">
      <alignment wrapText="1"/>
    </xf>
    <xf numFmtId="0" fontId="0" fillId="8" borderId="64" xfId="0" applyFill="1" applyBorder="1" applyAlignment="1" applyProtection="1">
      <alignment wrapText="1"/>
    </xf>
    <xf numFmtId="0" fontId="0" fillId="8" borderId="1" xfId="0" applyFill="1" applyBorder="1" applyAlignment="1" applyProtection="1">
      <alignment wrapText="1"/>
    </xf>
    <xf numFmtId="0" fontId="0" fillId="8" borderId="54" xfId="0" applyFill="1" applyBorder="1" applyAlignment="1" applyProtection="1">
      <alignment wrapText="1"/>
    </xf>
    <xf numFmtId="0" fontId="1" fillId="0" borderId="48" xfId="0" applyFont="1" applyBorder="1" applyAlignment="1" applyProtection="1"/>
    <xf numFmtId="0" fontId="4" fillId="0" borderId="55" xfId="0" applyFont="1" applyBorder="1" applyAlignment="1"/>
    <xf numFmtId="0" fontId="0" fillId="0" borderId="11" xfId="0" applyBorder="1" applyAlignment="1">
      <alignment horizontal="right"/>
    </xf>
    <xf numFmtId="0" fontId="0" fillId="0" borderId="46" xfId="0" applyBorder="1" applyAlignment="1">
      <alignment horizontal="right"/>
    </xf>
    <xf numFmtId="3" fontId="0" fillId="2" borderId="23" xfId="0" applyNumberFormat="1" applyFill="1" applyBorder="1" applyAlignment="1">
      <alignment horizontal="right"/>
    </xf>
    <xf numFmtId="3" fontId="0" fillId="2" borderId="19" xfId="0" applyNumberFormat="1" applyFill="1" applyBorder="1" applyAlignment="1">
      <alignment horizontal="right"/>
    </xf>
    <xf numFmtId="0" fontId="1" fillId="0" borderId="66" xfId="0" applyFont="1" applyBorder="1" applyAlignment="1" applyProtection="1">
      <protection locked="0"/>
    </xf>
    <xf numFmtId="0" fontId="1" fillId="0" borderId="48" xfId="0" applyFont="1" applyBorder="1" applyAlignment="1" applyProtection="1">
      <protection locked="0"/>
    </xf>
    <xf numFmtId="0" fontId="1" fillId="0" borderId="47" xfId="0" applyFont="1" applyBorder="1" applyAlignment="1" applyProtection="1">
      <protection locked="0"/>
    </xf>
    <xf numFmtId="0" fontId="0" fillId="0" borderId="78" xfId="0" applyBorder="1" applyAlignment="1" applyProtection="1">
      <protection locked="0"/>
    </xf>
    <xf numFmtId="0" fontId="0" fillId="0" borderId="25" xfId="0" applyBorder="1" applyAlignment="1" applyProtection="1">
      <protection locked="0"/>
    </xf>
    <xf numFmtId="3" fontId="0" fillId="0" borderId="2" xfId="0" applyNumberFormat="1" applyBorder="1" applyAlignment="1" applyProtection="1">
      <alignment horizontal="right"/>
      <protection locked="0"/>
    </xf>
    <xf numFmtId="3" fontId="0" fillId="0" borderId="15" xfId="0" applyNumberFormat="1" applyBorder="1" applyAlignment="1" applyProtection="1">
      <alignment horizontal="right"/>
      <protection locked="0"/>
    </xf>
    <xf numFmtId="0" fontId="0" fillId="0" borderId="48" xfId="0" applyBorder="1" applyAlignment="1" applyProtection="1">
      <alignment horizontal="right"/>
    </xf>
    <xf numFmtId="165" fontId="0" fillId="0" borderId="48" xfId="0" applyNumberFormat="1" applyFill="1" applyBorder="1" applyAlignment="1" applyProtection="1">
      <alignment horizontal="center"/>
      <protection locked="0"/>
    </xf>
    <xf numFmtId="165" fontId="0" fillId="0" borderId="47" xfId="0" applyNumberFormat="1" applyFill="1" applyBorder="1" applyAlignment="1" applyProtection="1">
      <alignment horizontal="center"/>
      <protection locked="0"/>
    </xf>
    <xf numFmtId="3" fontId="0" fillId="3" borderId="2" xfId="0" applyNumberFormat="1" applyFill="1" applyBorder="1" applyAlignment="1"/>
    <xf numFmtId="3" fontId="0" fillId="3" borderId="15" xfId="0" applyNumberFormat="1" applyFill="1" applyBorder="1" applyAlignment="1"/>
    <xf numFmtId="3" fontId="0" fillId="3" borderId="71" xfId="0" applyNumberFormat="1" applyFill="1" applyBorder="1" applyAlignment="1"/>
    <xf numFmtId="3" fontId="0" fillId="3" borderId="58" xfId="0" applyNumberFormat="1" applyFill="1" applyBorder="1" applyAlignment="1"/>
    <xf numFmtId="0" fontId="4" fillId="0" borderId="0" xfId="0" applyFont="1" applyBorder="1" applyAlignment="1">
      <alignment horizontal="center"/>
    </xf>
    <xf numFmtId="3" fontId="1" fillId="15" borderId="66" xfId="0" applyNumberFormat="1" applyFont="1" applyFill="1" applyBorder="1" applyAlignment="1">
      <alignment horizontal="right"/>
    </xf>
    <xf numFmtId="3" fontId="1" fillId="15" borderId="14" xfId="0" applyNumberFormat="1" applyFont="1" applyFill="1" applyBorder="1" applyAlignment="1">
      <alignment horizontal="right"/>
    </xf>
    <xf numFmtId="3" fontId="0" fillId="15" borderId="66" xfId="0" applyNumberFormat="1" applyFill="1" applyBorder="1" applyAlignment="1">
      <alignment horizontal="right"/>
    </xf>
    <xf numFmtId="3" fontId="0" fillId="15" borderId="47" xfId="0" applyNumberFormat="1" applyFill="1" applyBorder="1" applyAlignment="1">
      <alignment horizontal="right"/>
    </xf>
    <xf numFmtId="3" fontId="0" fillId="15" borderId="14" xfId="0" applyNumberFormat="1" applyFill="1" applyBorder="1" applyAlignment="1">
      <alignment horizontal="right"/>
    </xf>
    <xf numFmtId="3" fontId="0" fillId="2" borderId="60" xfId="0" applyNumberFormat="1" applyFill="1" applyBorder="1" applyAlignment="1" applyProtection="1"/>
    <xf numFmtId="3" fontId="0" fillId="2" borderId="59" xfId="0" applyNumberFormat="1" applyFill="1" applyBorder="1" applyAlignment="1" applyProtection="1"/>
    <xf numFmtId="3" fontId="3" fillId="2" borderId="60" xfId="0" applyNumberFormat="1" applyFont="1" applyFill="1" applyBorder="1" applyAlignment="1"/>
    <xf numFmtId="3" fontId="3" fillId="2" borderId="59" xfId="0" applyNumberFormat="1" applyFont="1" applyFill="1" applyBorder="1" applyAlignment="1"/>
    <xf numFmtId="3" fontId="0" fillId="3" borderId="56" xfId="0" applyNumberFormat="1" applyFill="1" applyBorder="1" applyAlignment="1"/>
    <xf numFmtId="3" fontId="0" fillId="2" borderId="66" xfId="0" applyNumberFormat="1" applyFill="1" applyBorder="1" applyAlignment="1"/>
    <xf numFmtId="3" fontId="0" fillId="2" borderId="47" xfId="0" applyNumberFormat="1" applyFill="1" applyBorder="1" applyAlignment="1"/>
    <xf numFmtId="3" fontId="0" fillId="2" borderId="2" xfId="0" applyNumberFormat="1" applyFill="1" applyBorder="1" applyAlignment="1">
      <alignment horizontal="right"/>
    </xf>
    <xf numFmtId="3" fontId="0" fillId="2" borderId="15" xfId="0" applyNumberFormat="1" applyFill="1" applyBorder="1" applyAlignment="1">
      <alignment horizontal="right"/>
    </xf>
    <xf numFmtId="0" fontId="0" fillId="0" borderId="66" xfId="0" applyBorder="1" applyAlignment="1" applyProtection="1">
      <protection locked="0"/>
    </xf>
    <xf numFmtId="0" fontId="0" fillId="0" borderId="48" xfId="0" applyBorder="1" applyAlignment="1" applyProtection="1">
      <protection locked="0"/>
    </xf>
    <xf numFmtId="3" fontId="6" fillId="2" borderId="67" xfId="0" applyNumberFormat="1" applyFont="1" applyFill="1" applyBorder="1" applyAlignment="1">
      <alignment horizontal="right"/>
    </xf>
    <xf numFmtId="3" fontId="6" fillId="2" borderId="68" xfId="0" applyNumberFormat="1" applyFont="1" applyFill="1" applyBorder="1" applyAlignment="1">
      <alignment horizontal="right"/>
    </xf>
    <xf numFmtId="3" fontId="0" fillId="2" borderId="67" xfId="0" applyNumberFormat="1" applyFill="1" applyBorder="1" applyAlignment="1">
      <alignment horizontal="right"/>
    </xf>
    <xf numFmtId="3" fontId="0" fillId="2" borderId="68" xfId="0" applyNumberFormat="1" applyFill="1" applyBorder="1" applyAlignment="1">
      <alignment horizontal="right"/>
    </xf>
    <xf numFmtId="0" fontId="6" fillId="2" borderId="67" xfId="0" applyFont="1" applyFill="1" applyBorder="1" applyAlignment="1">
      <alignment horizontal="right"/>
    </xf>
    <xf numFmtId="0" fontId="6" fillId="2" borderId="101" xfId="0" applyFont="1" applyFill="1" applyBorder="1" applyAlignment="1">
      <alignment horizontal="right"/>
    </xf>
    <xf numFmtId="3" fontId="0" fillId="2" borderId="66" xfId="0" applyNumberFormat="1" applyFill="1" applyBorder="1" applyAlignment="1">
      <alignment horizontal="right"/>
    </xf>
    <xf numFmtId="3" fontId="0" fillId="2" borderId="107" xfId="0" applyNumberFormat="1" applyFill="1" applyBorder="1" applyAlignment="1">
      <alignment horizontal="right"/>
    </xf>
    <xf numFmtId="3" fontId="0" fillId="2" borderId="47" xfId="0" applyNumberFormat="1" applyFill="1" applyBorder="1" applyAlignment="1">
      <alignment horizontal="right"/>
    </xf>
    <xf numFmtId="3" fontId="1" fillId="2" borderId="66" xfId="0" applyNumberFormat="1" applyFont="1" applyFill="1" applyBorder="1" applyAlignment="1">
      <alignment horizontal="right"/>
    </xf>
    <xf numFmtId="3" fontId="1" fillId="2" borderId="47" xfId="0" applyNumberFormat="1" applyFont="1" applyFill="1" applyBorder="1" applyAlignment="1">
      <alignment horizontal="right"/>
    </xf>
    <xf numFmtId="0" fontId="4" fillId="0" borderId="0" xfId="0" applyFont="1" applyAlignment="1">
      <alignment horizontal="right"/>
    </xf>
    <xf numFmtId="0" fontId="0" fillId="2" borderId="59" xfId="0" applyFill="1" applyBorder="1" applyAlignment="1" applyProtection="1"/>
    <xf numFmtId="3" fontId="0" fillId="2" borderId="61" xfId="0" applyNumberFormat="1" applyFill="1" applyBorder="1" applyAlignment="1">
      <alignment horizontal="right"/>
    </xf>
    <xf numFmtId="3" fontId="0" fillId="2" borderId="18" xfId="0" applyNumberFormat="1" applyFill="1" applyBorder="1" applyAlignment="1">
      <alignment horizontal="right"/>
    </xf>
    <xf numFmtId="0" fontId="3" fillId="0" borderId="66" xfId="0" applyFont="1" applyBorder="1" applyAlignment="1" applyProtection="1"/>
    <xf numFmtId="3" fontId="0" fillId="2" borderId="60" xfId="0" applyNumberFormat="1" applyFill="1" applyBorder="1" applyAlignment="1"/>
    <xf numFmtId="3" fontId="0" fillId="2" borderId="59" xfId="0" applyNumberFormat="1" applyFill="1" applyBorder="1" applyAlignment="1"/>
    <xf numFmtId="3" fontId="0" fillId="2" borderId="12" xfId="0" applyNumberFormat="1" applyFill="1" applyBorder="1" applyAlignment="1">
      <alignment horizontal="right"/>
    </xf>
    <xf numFmtId="3" fontId="0" fillId="2" borderId="17" xfId="0" applyNumberFormat="1" applyFill="1" applyBorder="1" applyAlignment="1">
      <alignment horizontal="right"/>
    </xf>
    <xf numFmtId="3" fontId="0" fillId="3" borderId="12" xfId="0" applyNumberFormat="1" applyFill="1" applyBorder="1" applyAlignment="1"/>
    <xf numFmtId="3" fontId="0" fillId="3" borderId="17" xfId="0" applyNumberFormat="1" applyFill="1" applyBorder="1" applyAlignment="1"/>
    <xf numFmtId="3" fontId="0" fillId="2" borderId="56" xfId="0" applyNumberFormat="1" applyFill="1" applyBorder="1" applyAlignment="1"/>
    <xf numFmtId="3" fontId="0" fillId="2" borderId="58" xfId="0" applyNumberFormat="1" applyFill="1" applyBorder="1" applyAlignment="1"/>
    <xf numFmtId="3" fontId="0" fillId="2" borderId="2" xfId="0" applyNumberFormat="1" applyFill="1" applyBorder="1" applyAlignment="1" applyProtection="1">
      <alignment horizontal="right"/>
    </xf>
    <xf numFmtId="3" fontId="0" fillId="2" borderId="15" xfId="0" applyNumberFormat="1" applyFill="1" applyBorder="1" applyAlignment="1" applyProtection="1">
      <alignment horizontal="right"/>
    </xf>
    <xf numFmtId="3" fontId="0" fillId="2" borderId="6" xfId="0" applyNumberFormat="1" applyFill="1" applyBorder="1" applyAlignment="1"/>
    <xf numFmtId="3" fontId="0" fillId="2" borderId="17" xfId="0" applyNumberFormat="1" applyFill="1" applyBorder="1" applyAlignment="1"/>
    <xf numFmtId="3" fontId="0" fillId="2" borderId="20" xfId="0" applyNumberFormat="1" applyFill="1" applyBorder="1" applyAlignment="1"/>
    <xf numFmtId="3" fontId="0" fillId="2" borderId="69" xfId="0" applyNumberFormat="1" applyFill="1" applyBorder="1" applyAlignment="1"/>
    <xf numFmtId="3" fontId="0" fillId="2" borderId="27" xfId="0" applyNumberFormat="1" applyFill="1" applyBorder="1" applyAlignment="1"/>
    <xf numFmtId="3" fontId="0" fillId="3" borderId="16" xfId="0" applyNumberFormat="1" applyFill="1" applyBorder="1" applyAlignment="1"/>
    <xf numFmtId="3" fontId="0" fillId="3" borderId="27" xfId="0" applyNumberFormat="1" applyFill="1" applyBorder="1" applyAlignment="1"/>
    <xf numFmtId="164" fontId="1" fillId="0" borderId="69" xfId="2" applyNumberFormat="1" applyBorder="1" applyAlignment="1" applyProtection="1">
      <protection locked="0"/>
    </xf>
    <xf numFmtId="164" fontId="1" fillId="0" borderId="65" xfId="2" applyNumberFormat="1" applyBorder="1" applyAlignment="1" applyProtection="1">
      <protection locked="0"/>
    </xf>
    <xf numFmtId="164" fontId="1" fillId="0" borderId="20" xfId="2" applyNumberFormat="1" applyBorder="1" applyAlignment="1" applyProtection="1">
      <protection locked="0"/>
    </xf>
    <xf numFmtId="164" fontId="1" fillId="0" borderId="27" xfId="2" applyNumberFormat="1" applyBorder="1" applyAlignment="1" applyProtection="1">
      <protection locked="0"/>
    </xf>
    <xf numFmtId="164" fontId="1" fillId="0" borderId="48" xfId="2" applyNumberFormat="1" applyBorder="1" applyAlignment="1" applyProtection="1">
      <protection locked="0"/>
    </xf>
    <xf numFmtId="164" fontId="1" fillId="0" borderId="16" xfId="2" applyNumberFormat="1" applyBorder="1" applyAlignment="1" applyProtection="1">
      <protection locked="0"/>
    </xf>
    <xf numFmtId="3" fontId="0" fillId="2" borderId="72" xfId="0" applyNumberFormat="1" applyFill="1" applyBorder="1" applyAlignment="1"/>
    <xf numFmtId="3" fontId="0" fillId="2" borderId="68" xfId="0" applyNumberFormat="1" applyFill="1" applyBorder="1" applyAlignment="1"/>
    <xf numFmtId="3" fontId="0" fillId="3" borderId="74" xfId="0" applyNumberFormat="1" applyFill="1" applyBorder="1" applyAlignment="1"/>
    <xf numFmtId="164" fontId="1" fillId="0" borderId="72" xfId="2" applyNumberFormat="1" applyBorder="1" applyAlignment="1" applyProtection="1">
      <protection locked="0"/>
    </xf>
    <xf numFmtId="164" fontId="1" fillId="0" borderId="75" xfId="2" applyNumberFormat="1" applyBorder="1" applyAlignment="1" applyProtection="1">
      <protection locked="0"/>
    </xf>
    <xf numFmtId="164" fontId="1" fillId="0" borderId="73" xfId="2" applyNumberFormat="1" applyBorder="1" applyAlignment="1" applyProtection="1">
      <protection locked="0"/>
    </xf>
    <xf numFmtId="0" fontId="4" fillId="0" borderId="1" xfId="0" applyFont="1" applyBorder="1" applyAlignment="1">
      <alignment horizontal="center"/>
    </xf>
    <xf numFmtId="3" fontId="0" fillId="0" borderId="12" xfId="0" applyNumberFormat="1" applyBorder="1" applyAlignment="1" applyProtection="1">
      <alignment horizontal="right"/>
      <protection locked="0"/>
    </xf>
    <xf numFmtId="3" fontId="0" fillId="0" borderId="17" xfId="0" applyNumberFormat="1" applyBorder="1" applyAlignment="1" applyProtection="1">
      <alignment horizontal="right"/>
      <protection locked="0"/>
    </xf>
    <xf numFmtId="0" fontId="0" fillId="0" borderId="67" xfId="0" applyBorder="1" applyAlignment="1" applyProtection="1">
      <protection locked="0"/>
    </xf>
    <xf numFmtId="0" fontId="0" fillId="0" borderId="75" xfId="0" applyBorder="1" applyAlignment="1" applyProtection="1">
      <protection locked="0"/>
    </xf>
    <xf numFmtId="3" fontId="0" fillId="0" borderId="61" xfId="0" applyNumberFormat="1" applyBorder="1" applyAlignment="1" applyProtection="1">
      <alignment horizontal="right"/>
      <protection locked="0"/>
    </xf>
    <xf numFmtId="3" fontId="0" fillId="0" borderId="18" xfId="0" applyNumberFormat="1" applyBorder="1" applyAlignment="1" applyProtection="1">
      <alignment horizontal="right"/>
      <protection locked="0"/>
    </xf>
    <xf numFmtId="3" fontId="0" fillId="2" borderId="64" xfId="0" applyNumberFormat="1" applyFill="1" applyBorder="1" applyAlignment="1"/>
    <xf numFmtId="3" fontId="0" fillId="2" borderId="54" xfId="0" applyNumberFormat="1" applyFill="1" applyBorder="1" applyAlignment="1"/>
    <xf numFmtId="3" fontId="0" fillId="2" borderId="56" xfId="0" applyNumberFormat="1" applyFill="1" applyBorder="1" applyAlignment="1">
      <alignment horizontal="right"/>
    </xf>
    <xf numFmtId="3" fontId="0" fillId="2" borderId="58" xfId="0" applyNumberFormat="1" applyFill="1" applyBorder="1" applyAlignment="1">
      <alignment horizontal="right"/>
    </xf>
    <xf numFmtId="3" fontId="0" fillId="0" borderId="23" xfId="0" applyNumberFormat="1" applyBorder="1" applyAlignment="1" applyProtection="1">
      <alignment horizontal="right"/>
      <protection locked="0"/>
    </xf>
    <xf numFmtId="3" fontId="0" fillId="0" borderId="19" xfId="0" applyNumberFormat="1" applyBorder="1" applyAlignment="1" applyProtection="1">
      <alignment horizontal="right"/>
      <protection locked="0"/>
    </xf>
    <xf numFmtId="3" fontId="0" fillId="0" borderId="66" xfId="0" applyNumberFormat="1" applyBorder="1" applyAlignment="1" applyProtection="1">
      <alignment horizontal="right"/>
      <protection locked="0"/>
    </xf>
    <xf numFmtId="3" fontId="0" fillId="0" borderId="47" xfId="0" applyNumberFormat="1" applyBorder="1" applyAlignment="1" applyProtection="1">
      <alignment horizontal="right"/>
      <protection locked="0"/>
    </xf>
    <xf numFmtId="0" fontId="0" fillId="0" borderId="61" xfId="0" applyBorder="1" applyAlignment="1" applyProtection="1">
      <protection locked="0"/>
    </xf>
    <xf numFmtId="0" fontId="0" fillId="0" borderId="13" xfId="0" applyBorder="1" applyAlignment="1" applyProtection="1">
      <protection locked="0"/>
    </xf>
    <xf numFmtId="0" fontId="0" fillId="0" borderId="10" xfId="0" applyBorder="1" applyAlignment="1" applyProtection="1">
      <protection locked="0"/>
    </xf>
    <xf numFmtId="0" fontId="0" fillId="0" borderId="61" xfId="0" applyBorder="1" applyAlignment="1"/>
    <xf numFmtId="0" fontId="0" fillId="0" borderId="13" xfId="0" applyBorder="1" applyAlignment="1"/>
    <xf numFmtId="0" fontId="0" fillId="0" borderId="12" xfId="0" applyBorder="1" applyAlignment="1"/>
    <xf numFmtId="0" fontId="0" fillId="0" borderId="6" xfId="0" applyBorder="1" applyAlignment="1"/>
    <xf numFmtId="0" fontId="0" fillId="0" borderId="75" xfId="0" applyBorder="1" applyAlignment="1"/>
    <xf numFmtId="0" fontId="0" fillId="0" borderId="48" xfId="0" applyBorder="1" applyAlignment="1"/>
    <xf numFmtId="0" fontId="0" fillId="0" borderId="78" xfId="0" applyBorder="1" applyAlignment="1"/>
    <xf numFmtId="0" fontId="0" fillId="0" borderId="25" xfId="0" applyBorder="1" applyAlignment="1"/>
    <xf numFmtId="0" fontId="4" fillId="0" borderId="0" xfId="0" applyFont="1" applyAlignment="1">
      <alignment horizontal="center"/>
    </xf>
    <xf numFmtId="0" fontId="0" fillId="0" borderId="0" xfId="0" applyAlignment="1">
      <alignment horizontal="center"/>
    </xf>
    <xf numFmtId="0" fontId="3" fillId="0" borderId="12" xfId="0" applyFont="1" applyBorder="1" applyAlignment="1" applyProtection="1">
      <protection locked="0"/>
    </xf>
    <xf numFmtId="0" fontId="0" fillId="0" borderId="6" xfId="0" applyBorder="1" applyAlignment="1" applyProtection="1">
      <protection locked="0"/>
    </xf>
    <xf numFmtId="3" fontId="0" fillId="2" borderId="2" xfId="0" applyNumberFormat="1" applyFill="1" applyBorder="1" applyAlignment="1"/>
    <xf numFmtId="3" fontId="0" fillId="2" borderId="15" xfId="0" applyNumberFormat="1" applyFill="1" applyBorder="1" applyAlignment="1"/>
    <xf numFmtId="3" fontId="0" fillId="2" borderId="60" xfId="0" applyNumberFormat="1" applyFill="1" applyBorder="1" applyAlignment="1">
      <alignment horizontal="right"/>
    </xf>
    <xf numFmtId="3" fontId="0" fillId="2" borderId="54" xfId="0" applyNumberFormat="1" applyFill="1" applyBorder="1" applyAlignment="1">
      <alignment horizontal="right"/>
    </xf>
    <xf numFmtId="3" fontId="0" fillId="2" borderId="59" xfId="0" applyNumberFormat="1" applyFill="1" applyBorder="1" applyAlignment="1">
      <alignment horizontal="right"/>
    </xf>
    <xf numFmtId="3" fontId="6" fillId="2" borderId="108" xfId="0" applyNumberFormat="1" applyFont="1" applyFill="1" applyBorder="1" applyAlignment="1">
      <alignment horizontal="right"/>
    </xf>
    <xf numFmtId="3" fontId="6" fillId="2" borderId="14" xfId="0" applyNumberFormat="1" applyFont="1" applyFill="1" applyBorder="1" applyAlignment="1">
      <alignment horizontal="right"/>
    </xf>
    <xf numFmtId="3" fontId="6" fillId="15" borderId="108" xfId="0" applyNumberFormat="1" applyFont="1" applyFill="1" applyBorder="1" applyAlignment="1">
      <alignment horizontal="right"/>
    </xf>
    <xf numFmtId="3" fontId="6" fillId="15" borderId="14" xfId="0" applyNumberFormat="1" applyFont="1" applyFill="1" applyBorder="1" applyAlignment="1">
      <alignment horizontal="right"/>
    </xf>
    <xf numFmtId="3" fontId="6" fillId="2" borderId="54" xfId="0" applyNumberFormat="1" applyFont="1" applyFill="1" applyBorder="1" applyAlignment="1">
      <alignment horizontal="right"/>
    </xf>
    <xf numFmtId="0" fontId="0" fillId="2" borderId="66" xfId="0" applyFill="1" applyBorder="1" applyAlignment="1" applyProtection="1">
      <alignment horizontal="center"/>
      <protection locked="0"/>
    </xf>
    <xf numFmtId="0" fontId="0" fillId="2" borderId="48" xfId="0" applyFill="1" applyBorder="1" applyAlignment="1" applyProtection="1">
      <alignment horizontal="center"/>
      <protection locked="0"/>
    </xf>
    <xf numFmtId="0" fontId="0" fillId="2" borderId="47" xfId="0" applyFill="1" applyBorder="1" applyAlignment="1" applyProtection="1">
      <alignment horizontal="center"/>
      <protection locked="0"/>
    </xf>
    <xf numFmtId="0" fontId="0" fillId="0" borderId="66"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7" xfId="0" applyBorder="1" applyAlignment="1" applyProtection="1">
      <alignment horizontal="center"/>
      <protection locked="0"/>
    </xf>
    <xf numFmtId="3" fontId="0" fillId="2" borderId="101" xfId="0" applyNumberFormat="1" applyFill="1" applyBorder="1" applyAlignment="1">
      <alignment horizontal="right"/>
    </xf>
    <xf numFmtId="0" fontId="0" fillId="2" borderId="67" xfId="0" applyFill="1" applyBorder="1" applyAlignment="1">
      <alignment horizontal="center"/>
    </xf>
    <xf numFmtId="0" fontId="0" fillId="2" borderId="75" xfId="0" applyFill="1" applyBorder="1" applyAlignment="1">
      <alignment horizontal="center"/>
    </xf>
    <xf numFmtId="0" fontId="0" fillId="2" borderId="68" xfId="0" applyFill="1" applyBorder="1" applyAlignment="1">
      <alignment horizontal="center"/>
    </xf>
    <xf numFmtId="3" fontId="0" fillId="2" borderId="14" xfId="0" applyNumberFormat="1" applyFill="1" applyBorder="1" applyAlignment="1">
      <alignment horizontal="right"/>
    </xf>
    <xf numFmtId="0" fontId="0" fillId="15" borderId="66" xfId="0" applyFill="1" applyBorder="1" applyAlignment="1" applyProtection="1">
      <alignment horizontal="center"/>
      <protection locked="0"/>
    </xf>
    <xf numFmtId="0" fontId="0" fillId="15" borderId="48" xfId="0" applyFill="1" applyBorder="1" applyAlignment="1" applyProtection="1">
      <alignment horizontal="center"/>
      <protection locked="0"/>
    </xf>
    <xf numFmtId="0" fontId="0" fillId="15" borderId="47" xfId="0" applyFill="1" applyBorder="1" applyAlignment="1" applyProtection="1">
      <alignment horizontal="center"/>
      <protection locked="0"/>
    </xf>
    <xf numFmtId="0" fontId="0" fillId="0" borderId="70" xfId="0" applyBorder="1" applyAlignment="1" applyProtection="1">
      <alignment horizontal="center"/>
      <protection locked="0"/>
    </xf>
    <xf numFmtId="0" fontId="0" fillId="0" borderId="65" xfId="0" applyBorder="1" applyAlignment="1" applyProtection="1">
      <alignment horizontal="center"/>
      <protection locked="0"/>
    </xf>
    <xf numFmtId="0" fontId="0" fillId="0" borderId="104" xfId="0" applyBorder="1" applyAlignment="1" applyProtection="1">
      <alignment horizontal="center"/>
      <protection locked="0"/>
    </xf>
    <xf numFmtId="3" fontId="1" fillId="2" borderId="107" xfId="0" applyNumberFormat="1" applyFont="1" applyFill="1" applyBorder="1" applyAlignment="1">
      <alignment horizontal="right"/>
    </xf>
    <xf numFmtId="3" fontId="1" fillId="2" borderId="14" xfId="0" applyNumberFormat="1" applyFont="1" applyFill="1" applyBorder="1" applyAlignment="1">
      <alignment horizontal="right"/>
    </xf>
    <xf numFmtId="0" fontId="0" fillId="0" borderId="10" xfId="0" applyBorder="1" applyAlignment="1"/>
    <xf numFmtId="0" fontId="0" fillId="0" borderId="15" xfId="0" applyBorder="1" applyAlignment="1"/>
    <xf numFmtId="0" fontId="3" fillId="0" borderId="66" xfId="0" applyFont="1" applyBorder="1" applyAlignment="1"/>
    <xf numFmtId="0" fontId="3" fillId="0" borderId="48" xfId="0" applyFont="1" applyBorder="1" applyAlignment="1"/>
    <xf numFmtId="0" fontId="3" fillId="0" borderId="47" xfId="0" applyFont="1" applyBorder="1" applyAlignment="1"/>
    <xf numFmtId="0" fontId="4" fillId="0" borderId="2" xfId="0" applyFont="1" applyBorder="1" applyAlignment="1"/>
    <xf numFmtId="0" fontId="4" fillId="0" borderId="10" xfId="0" applyFont="1" applyBorder="1" applyAlignment="1"/>
    <xf numFmtId="0" fontId="4" fillId="0" borderId="15" xfId="0" applyFont="1" applyBorder="1" applyAlignment="1"/>
    <xf numFmtId="0" fontId="4" fillId="0" borderId="12" xfId="0" applyFont="1" applyBorder="1" applyAlignment="1"/>
    <xf numFmtId="0" fontId="4" fillId="0" borderId="6" xfId="0" applyFont="1" applyBorder="1" applyAlignment="1"/>
    <xf numFmtId="0" fontId="4" fillId="0" borderId="17" xfId="0" applyFont="1" applyBorder="1" applyAlignment="1"/>
    <xf numFmtId="49" fontId="0" fillId="0" borderId="10" xfId="0" applyNumberFormat="1" applyBorder="1" applyAlignment="1"/>
    <xf numFmtId="49" fontId="0" fillId="0" borderId="15" xfId="0" applyNumberFormat="1" applyBorder="1" applyAlignment="1"/>
    <xf numFmtId="0" fontId="14" fillId="2" borderId="27" xfId="0" applyFont="1" applyFill="1" applyBorder="1" applyAlignment="1">
      <alignment horizontal="left" indent="1"/>
    </xf>
    <xf numFmtId="0" fontId="14" fillId="2" borderId="16" xfId="0" applyFont="1" applyFill="1" applyBorder="1" applyAlignment="1">
      <alignment horizontal="left" indent="1"/>
    </xf>
    <xf numFmtId="0" fontId="4" fillId="2" borderId="80" xfId="0" applyFont="1" applyFill="1" applyBorder="1" applyAlignment="1">
      <alignment horizontal="left" indent="1"/>
    </xf>
    <xf numFmtId="0" fontId="4" fillId="2" borderId="34" xfId="0" applyFont="1" applyFill="1" applyBorder="1" applyAlignment="1">
      <alignment horizontal="left" indent="1"/>
    </xf>
    <xf numFmtId="0" fontId="4" fillId="2" borderId="27" xfId="0" applyFont="1" applyFill="1" applyBorder="1" applyAlignment="1">
      <alignment horizontal="left" indent="1"/>
    </xf>
    <xf numFmtId="0" fontId="4" fillId="2" borderId="48" xfId="0" applyFont="1" applyFill="1" applyBorder="1" applyAlignment="1">
      <alignment horizontal="left" indent="1"/>
    </xf>
    <xf numFmtId="0" fontId="17" fillId="2" borderId="66" xfId="0" applyNumberFormat="1" applyFont="1" applyFill="1" applyBorder="1" applyAlignment="1"/>
    <xf numFmtId="0" fontId="17" fillId="2" borderId="48" xfId="0" applyNumberFormat="1" applyFont="1" applyFill="1" applyBorder="1" applyAlignment="1"/>
    <xf numFmtId="0" fontId="22" fillId="2" borderId="0" xfId="0" applyFont="1" applyFill="1" applyBorder="1" applyAlignment="1">
      <alignment horizontal="left"/>
    </xf>
    <xf numFmtId="0" fontId="17" fillId="2" borderId="25" xfId="0" applyNumberFormat="1" applyFont="1" applyFill="1" applyBorder="1" applyAlignment="1"/>
    <xf numFmtId="0" fontId="22" fillId="2" borderId="0" xfId="0" applyFont="1" applyFill="1" applyBorder="1" applyAlignment="1"/>
    <xf numFmtId="0" fontId="14" fillId="2" borderId="40" xfId="0" applyFont="1" applyFill="1" applyBorder="1" applyAlignment="1">
      <alignment horizontal="left" indent="1"/>
    </xf>
    <xf numFmtId="0" fontId="14" fillId="2" borderId="41" xfId="0" applyFont="1" applyFill="1" applyBorder="1" applyAlignment="1">
      <alignment horizontal="left" indent="1"/>
    </xf>
    <xf numFmtId="0" fontId="16" fillId="4" borderId="27" xfId="0" applyFont="1" applyFill="1" applyBorder="1" applyAlignment="1">
      <alignment horizontal="left" indent="2"/>
    </xf>
    <xf numFmtId="0" fontId="16" fillId="4" borderId="16" xfId="0" applyFont="1" applyFill="1" applyBorder="1" applyAlignment="1">
      <alignment horizontal="left" indent="2"/>
    </xf>
    <xf numFmtId="0" fontId="4" fillId="2" borderId="109" xfId="0" applyFont="1" applyFill="1" applyBorder="1" applyAlignment="1"/>
    <xf numFmtId="0" fontId="4" fillId="2" borderId="110" xfId="0" applyFont="1" applyFill="1" applyBorder="1" applyAlignment="1"/>
    <xf numFmtId="0" fontId="16" fillId="2" borderId="81" xfId="0" applyFont="1" applyFill="1" applyBorder="1" applyAlignment="1"/>
    <xf numFmtId="0" fontId="16" fillId="2" borderId="34" xfId="0" applyFont="1" applyFill="1" applyBorder="1" applyAlignment="1"/>
    <xf numFmtId="0" fontId="0" fillId="11" borderId="21" xfId="0" applyFill="1" applyBorder="1" applyAlignment="1">
      <alignment horizontal="left" vertical="top"/>
    </xf>
    <xf numFmtId="0" fontId="0" fillId="11" borderId="8" xfId="0" applyFill="1" applyBorder="1" applyAlignment="1">
      <alignment horizontal="left" vertical="top"/>
    </xf>
    <xf numFmtId="0" fontId="16" fillId="0" borderId="27" xfId="0" applyFont="1" applyBorder="1" applyAlignment="1"/>
    <xf numFmtId="0" fontId="16" fillId="0" borderId="16" xfId="0" applyFont="1" applyBorder="1" applyAlignment="1"/>
    <xf numFmtId="0" fontId="4" fillId="2" borderId="81" xfId="0" applyFont="1" applyFill="1" applyBorder="1" applyAlignment="1"/>
    <xf numFmtId="0" fontId="4" fillId="2" borderId="34" xfId="0" applyFont="1" applyFill="1" applyBorder="1" applyAlignment="1"/>
    <xf numFmtId="0" fontId="4" fillId="2" borderId="0" xfId="0" applyFont="1" applyFill="1" applyBorder="1" applyAlignment="1"/>
    <xf numFmtId="0" fontId="16" fillId="0" borderId="27" xfId="0" applyFont="1" applyFill="1" applyBorder="1" applyAlignment="1">
      <alignment horizontal="left" indent="2"/>
    </xf>
    <xf numFmtId="0" fontId="16" fillId="0" borderId="16" xfId="0" applyFont="1" applyFill="1" applyBorder="1" applyAlignment="1">
      <alignment horizontal="left" indent="2"/>
    </xf>
    <xf numFmtId="165" fontId="16" fillId="0" borderId="27" xfId="0" applyNumberFormat="1" applyFont="1" applyBorder="1" applyAlignment="1">
      <alignment horizontal="left" indent="2"/>
    </xf>
    <xf numFmtId="165" fontId="16" fillId="0" borderId="16" xfId="0" applyNumberFormat="1" applyFont="1" applyBorder="1" applyAlignment="1">
      <alignment horizontal="left" indent="2"/>
    </xf>
    <xf numFmtId="0" fontId="16" fillId="4" borderId="27" xfId="0" applyFont="1" applyFill="1" applyBorder="1" applyAlignment="1">
      <alignment horizontal="left" indent="1"/>
    </xf>
    <xf numFmtId="0" fontId="16" fillId="4" borderId="16" xfId="0" applyFont="1" applyFill="1" applyBorder="1" applyAlignment="1">
      <alignment horizontal="left" indent="1"/>
    </xf>
    <xf numFmtId="0" fontId="15" fillId="2" borderId="0" xfId="0" applyFont="1" applyFill="1" applyBorder="1" applyAlignment="1">
      <alignment horizontal="left"/>
    </xf>
    <xf numFmtId="0" fontId="16" fillId="0" borderId="0" xfId="0" applyFont="1" applyBorder="1" applyAlignment="1"/>
    <xf numFmtId="0" fontId="15" fillId="2" borderId="27" xfId="0" applyFont="1" applyFill="1" applyBorder="1" applyAlignment="1">
      <alignment horizontal="left" indent="1"/>
    </xf>
    <xf numFmtId="0" fontId="15" fillId="2" borderId="16" xfId="0" applyFont="1" applyFill="1" applyBorder="1" applyAlignment="1">
      <alignment horizontal="left" indent="1"/>
    </xf>
    <xf numFmtId="0" fontId="16" fillId="2" borderId="16" xfId="0" applyFont="1" applyFill="1" applyBorder="1" applyAlignment="1">
      <alignment horizontal="left" indent="1"/>
    </xf>
    <xf numFmtId="0" fontId="4" fillId="2" borderId="16" xfId="0" applyFont="1" applyFill="1" applyBorder="1" applyAlignment="1">
      <alignment horizontal="left" indent="1"/>
    </xf>
    <xf numFmtId="0" fontId="16" fillId="0" borderId="27" xfId="0" applyFont="1" applyBorder="1" applyAlignment="1">
      <alignment horizontal="left" indent="1"/>
    </xf>
    <xf numFmtId="0" fontId="16" fillId="0" borderId="16" xfId="0" applyFont="1" applyBorder="1" applyAlignment="1">
      <alignment horizontal="left" indent="1"/>
    </xf>
    <xf numFmtId="0" fontId="16" fillId="0" borderId="27" xfId="0" applyFont="1" applyFill="1" applyBorder="1" applyAlignment="1">
      <alignment horizontal="left" indent="1"/>
    </xf>
    <xf numFmtId="0" fontId="16" fillId="0" borderId="16" xfId="0" applyFont="1" applyFill="1" applyBorder="1" applyAlignment="1">
      <alignment horizontal="left" indent="1"/>
    </xf>
    <xf numFmtId="0" fontId="4" fillId="2" borderId="44" xfId="0" applyFont="1" applyFill="1" applyBorder="1" applyAlignment="1">
      <alignment horizontal="left" indent="1"/>
    </xf>
    <xf numFmtId="0" fontId="4" fillId="2" borderId="32" xfId="0" applyFont="1" applyFill="1" applyBorder="1" applyAlignment="1">
      <alignment horizontal="left" indent="1"/>
    </xf>
    <xf numFmtId="0" fontId="15" fillId="2" borderId="80" xfId="0" applyFont="1" applyFill="1" applyBorder="1" applyAlignment="1">
      <alignment horizontal="left" indent="1"/>
    </xf>
    <xf numFmtId="0" fontId="15" fillId="2" borderId="34" xfId="0" applyFont="1" applyFill="1" applyBorder="1" applyAlignment="1">
      <alignment horizontal="left" indent="1"/>
    </xf>
    <xf numFmtId="0" fontId="15" fillId="2" borderId="80" xfId="0" applyFont="1" applyFill="1" applyBorder="1" applyAlignment="1"/>
    <xf numFmtId="0" fontId="15" fillId="2" borderId="34" xfId="0" applyFont="1" applyFill="1" applyBorder="1" applyAlignment="1"/>
    <xf numFmtId="0" fontId="15" fillId="2" borderId="25" xfId="0" applyFont="1" applyFill="1" applyBorder="1" applyAlignment="1"/>
    <xf numFmtId="0" fontId="9" fillId="0" borderId="0" xfId="0" applyFont="1" applyBorder="1" applyAlignment="1">
      <alignment horizontal="center" vertical="center"/>
    </xf>
    <xf numFmtId="0" fontId="16" fillId="4" borderId="27" xfId="0" applyFont="1" applyFill="1" applyBorder="1" applyAlignment="1">
      <alignment horizontal="left"/>
    </xf>
    <xf numFmtId="0" fontId="16" fillId="4" borderId="16" xfId="0" applyFont="1" applyFill="1" applyBorder="1" applyAlignment="1">
      <alignment horizontal="left"/>
    </xf>
    <xf numFmtId="0" fontId="15" fillId="2" borderId="0" xfId="0" applyFont="1" applyFill="1" applyBorder="1" applyAlignment="1"/>
    <xf numFmtId="0" fontId="15" fillId="2" borderId="44" xfId="0" applyFont="1" applyFill="1" applyBorder="1" applyAlignment="1">
      <alignment horizontal="left" indent="1"/>
    </xf>
    <xf numFmtId="0" fontId="15" fillId="2" borderId="32" xfId="0" applyFont="1" applyFill="1" applyBorder="1" applyAlignment="1">
      <alignment horizontal="left" indent="1"/>
    </xf>
    <xf numFmtId="0" fontId="15" fillId="2" borderId="48" xfId="0" applyFont="1" applyFill="1" applyBorder="1" applyAlignment="1">
      <alignment horizontal="left" indent="1"/>
    </xf>
    <xf numFmtId="0" fontId="17" fillId="2" borderId="78" xfId="0" applyNumberFormat="1" applyFont="1" applyFill="1" applyBorder="1" applyAlignment="1"/>
    <xf numFmtId="0" fontId="4" fillId="2" borderId="45" xfId="0" applyFont="1" applyFill="1" applyBorder="1" applyAlignment="1">
      <alignment horizontal="left" indent="1"/>
    </xf>
    <xf numFmtId="0" fontId="4" fillId="2" borderId="35" xfId="0" applyFont="1" applyFill="1" applyBorder="1" applyAlignment="1">
      <alignment horizontal="left" indent="1"/>
    </xf>
    <xf numFmtId="0" fontId="4" fillId="2" borderId="40" xfId="0" applyFont="1" applyFill="1" applyBorder="1" applyAlignment="1">
      <alignment horizontal="left" indent="1"/>
    </xf>
    <xf numFmtId="0" fontId="4" fillId="2" borderId="41" xfId="0" applyFont="1" applyFill="1" applyBorder="1" applyAlignment="1">
      <alignment horizontal="left" indent="1"/>
    </xf>
    <xf numFmtId="0" fontId="10" fillId="0" borderId="0" xfId="0" applyFont="1" applyBorder="1" applyAlignment="1"/>
    <xf numFmtId="0" fontId="15" fillId="2" borderId="35" xfId="0" applyFont="1" applyFill="1" applyBorder="1" applyAlignment="1"/>
    <xf numFmtId="0" fontId="16" fillId="2" borderId="66" xfId="0" applyFont="1" applyFill="1" applyBorder="1" applyAlignment="1"/>
    <xf numFmtId="0" fontId="16" fillId="2" borderId="16" xfId="0" applyFont="1" applyFill="1" applyBorder="1" applyAlignment="1"/>
    <xf numFmtId="0" fontId="15" fillId="2" borderId="44" xfId="0" applyFont="1" applyFill="1" applyBorder="1" applyAlignment="1"/>
    <xf numFmtId="0" fontId="15" fillId="2" borderId="32" xfId="0" applyFont="1" applyFill="1" applyBorder="1" applyAlignment="1"/>
    <xf numFmtId="0" fontId="42" fillId="2" borderId="44" xfId="0" applyFont="1" applyFill="1" applyBorder="1" applyAlignment="1">
      <alignment horizontal="left" indent="3"/>
    </xf>
    <xf numFmtId="0" fontId="42" fillId="2" borderId="32" xfId="0" applyFont="1" applyFill="1" applyBorder="1" applyAlignment="1">
      <alignment horizontal="left" indent="3"/>
    </xf>
    <xf numFmtId="0" fontId="10" fillId="2" borderId="80" xfId="0" applyFont="1" applyFill="1" applyBorder="1" applyAlignment="1"/>
    <xf numFmtId="0" fontId="10" fillId="2" borderId="34" xfId="0" applyFont="1" applyFill="1" applyBorder="1" applyAlignment="1"/>
    <xf numFmtId="0" fontId="18" fillId="2" borderId="25" xfId="0" applyFont="1" applyFill="1" applyBorder="1" applyAlignment="1"/>
    <xf numFmtId="0" fontId="15" fillId="2" borderId="80" xfId="0" applyFont="1" applyFill="1" applyBorder="1" applyAlignment="1">
      <alignment horizontal="left"/>
    </xf>
    <xf numFmtId="0" fontId="15" fillId="2" borderId="34" xfId="0" applyFont="1" applyFill="1" applyBorder="1" applyAlignment="1">
      <alignment horizontal="left"/>
    </xf>
    <xf numFmtId="0" fontId="37" fillId="0" borderId="0" xfId="3" applyFont="1" applyAlignment="1" applyProtection="1">
      <alignment wrapText="1"/>
    </xf>
    <xf numFmtId="0" fontId="37" fillId="0" borderId="0" xfId="3" applyFont="1" applyAlignment="1" applyProtection="1"/>
    <xf numFmtId="0" fontId="37" fillId="0" borderId="0" xfId="3" applyFont="1" applyAlignment="1" applyProtection="1">
      <alignment vertical="top" wrapText="1"/>
    </xf>
    <xf numFmtId="3" fontId="1" fillId="0" borderId="2" xfId="3" applyNumberFormat="1" applyFill="1" applyBorder="1" applyAlignment="1" applyProtection="1">
      <alignment horizontal="center"/>
    </xf>
    <xf numFmtId="3" fontId="1" fillId="0" borderId="10" xfId="3" applyNumberFormat="1" applyFill="1" applyBorder="1" applyAlignment="1" applyProtection="1">
      <alignment horizontal="center"/>
    </xf>
    <xf numFmtId="3" fontId="1" fillId="0" borderId="15" xfId="3" applyNumberFormat="1" applyFill="1" applyBorder="1" applyAlignment="1" applyProtection="1">
      <alignment horizontal="center"/>
    </xf>
    <xf numFmtId="0" fontId="32" fillId="0" borderId="0" xfId="3" applyFont="1" applyAlignment="1" applyProtection="1">
      <alignment horizontal="center" vertical="top"/>
    </xf>
    <xf numFmtId="0" fontId="4" fillId="0" borderId="0" xfId="3" applyFont="1" applyAlignment="1" applyProtection="1"/>
    <xf numFmtId="0" fontId="1" fillId="0" borderId="12" xfId="3" applyFont="1" applyFill="1" applyBorder="1" applyAlignment="1" applyProtection="1">
      <alignment horizontal="center"/>
    </xf>
    <xf numFmtId="0" fontId="1" fillId="0" borderId="6" xfId="3" applyFont="1" applyFill="1" applyBorder="1" applyAlignment="1" applyProtection="1">
      <alignment horizontal="center"/>
    </xf>
    <xf numFmtId="0" fontId="1" fillId="0" borderId="17" xfId="3" applyFont="1" applyFill="1" applyBorder="1" applyAlignment="1" applyProtection="1">
      <alignment horizontal="center"/>
    </xf>
    <xf numFmtId="3" fontId="1" fillId="0" borderId="2" xfId="3" applyNumberFormat="1" applyFill="1" applyBorder="1" applyAlignment="1">
      <alignment horizontal="center"/>
    </xf>
    <xf numFmtId="3" fontId="1" fillId="0" borderId="10" xfId="3" applyNumberFormat="1" applyFill="1" applyBorder="1" applyAlignment="1">
      <alignment horizontal="center"/>
    </xf>
    <xf numFmtId="3" fontId="1" fillId="0" borderId="15" xfId="3" applyNumberFormat="1" applyFill="1" applyBorder="1" applyAlignment="1">
      <alignment horizontal="center"/>
    </xf>
    <xf numFmtId="0" fontId="1" fillId="0" borderId="12" xfId="3" applyFont="1" applyFill="1" applyBorder="1" applyAlignment="1">
      <alignment horizontal="center"/>
    </xf>
    <xf numFmtId="0" fontId="1" fillId="0" borderId="6" xfId="3" applyFont="1" applyFill="1" applyBorder="1" applyAlignment="1">
      <alignment horizontal="center"/>
    </xf>
    <xf numFmtId="0" fontId="1" fillId="0" borderId="17" xfId="3" applyFont="1" applyFill="1" applyBorder="1" applyAlignment="1">
      <alignment horizontal="center"/>
    </xf>
    <xf numFmtId="0" fontId="32" fillId="0" borderId="0" xfId="3" applyFont="1" applyAlignment="1">
      <alignment horizontal="center" vertical="top"/>
    </xf>
    <xf numFmtId="0" fontId="4" fillId="0" borderId="0" xfId="3" applyFont="1" applyAlignment="1"/>
    <xf numFmtId="0" fontId="2" fillId="0" borderId="0" xfId="0" applyFont="1" applyAlignment="1">
      <alignment horizontal="center"/>
    </xf>
    <xf numFmtId="0" fontId="0" fillId="0" borderId="10" xfId="0" applyBorder="1" applyAlignment="1" applyProtection="1">
      <alignment vertical="center" wrapText="1"/>
    </xf>
    <xf numFmtId="0" fontId="0" fillId="12" borderId="10" xfId="0" applyFill="1" applyBorder="1" applyAlignment="1" applyProtection="1">
      <alignment vertical="center" wrapText="1"/>
    </xf>
    <xf numFmtId="0" fontId="3" fillId="0" borderId="10" xfId="0" applyFont="1" applyBorder="1" applyAlignment="1" applyProtection="1">
      <alignment horizontal="center" vertical="center" wrapText="1"/>
    </xf>
    <xf numFmtId="0" fontId="0" fillId="0" borderId="10" xfId="0" applyBorder="1" applyAlignment="1" applyProtection="1">
      <alignment horizontal="center" vertical="center" wrapText="1"/>
    </xf>
    <xf numFmtId="0" fontId="4" fillId="12" borderId="10" xfId="0" applyFont="1" applyFill="1" applyBorder="1" applyAlignment="1" applyProtection="1">
      <alignment horizontal="center" vertical="center" wrapText="1"/>
    </xf>
    <xf numFmtId="49" fontId="4" fillId="12" borderId="10" xfId="0" applyNumberFormat="1" applyFont="1" applyFill="1" applyBorder="1" applyAlignment="1" applyProtection="1">
      <alignment horizontal="center" vertical="center" wrapText="1"/>
    </xf>
    <xf numFmtId="0" fontId="0" fillId="0" borderId="10" xfId="0" applyBorder="1" applyAlignment="1" applyProtection="1">
      <alignment vertical="center"/>
    </xf>
    <xf numFmtId="0" fontId="0" fillId="12" borderId="10" xfId="0" applyFill="1" applyBorder="1" applyAlignment="1" applyProtection="1">
      <alignment horizontal="center" vertical="center" wrapText="1"/>
    </xf>
    <xf numFmtId="0" fontId="3" fillId="0" borderId="10" xfId="0" applyFont="1" applyBorder="1" applyAlignment="1" applyProtection="1">
      <alignment vertical="center" wrapText="1"/>
    </xf>
    <xf numFmtId="49" fontId="3" fillId="0" borderId="10" xfId="0" applyNumberFormat="1" applyFont="1" applyBorder="1" applyAlignment="1" applyProtection="1">
      <alignment horizontal="center" vertical="center" wrapText="1"/>
    </xf>
    <xf numFmtId="0" fontId="0" fillId="0" borderId="10" xfId="0" applyBorder="1" applyAlignment="1" applyProtection="1">
      <alignment horizontal="left" vertical="center" wrapText="1"/>
    </xf>
    <xf numFmtId="0" fontId="0" fillId="0" borderId="10" xfId="0" applyBorder="1" applyAlignment="1" applyProtection="1">
      <alignment horizontal="center" vertical="top" wrapText="1"/>
    </xf>
    <xf numFmtId="0" fontId="0" fillId="0" borderId="10" xfId="0" applyBorder="1" applyAlignment="1">
      <alignment vertical="center" wrapText="1"/>
    </xf>
    <xf numFmtId="165" fontId="0" fillId="0" borderId="10" xfId="0" applyNumberFormat="1" applyBorder="1" applyAlignment="1" applyProtection="1">
      <alignment vertical="center" wrapText="1"/>
    </xf>
    <xf numFmtId="0" fontId="18" fillId="0" borderId="0" xfId="0" applyFont="1" applyAlignment="1" applyProtection="1">
      <alignment horizontal="center" vertical="center" wrapText="1"/>
    </xf>
    <xf numFmtId="0" fontId="8" fillId="0" borderId="8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23" fillId="0" borderId="0" xfId="0" applyFont="1" applyBorder="1" applyAlignment="1">
      <alignment vertical="center" wrapText="1"/>
    </xf>
    <xf numFmtId="0" fontId="23" fillId="0" borderId="87" xfId="0" applyFont="1" applyBorder="1" applyAlignment="1">
      <alignment vertical="center" wrapText="1"/>
    </xf>
    <xf numFmtId="0" fontId="23" fillId="0" borderId="0" xfId="0" applyFont="1" applyBorder="1" applyAlignment="1">
      <alignment horizontal="right" vertical="center" wrapText="1"/>
    </xf>
    <xf numFmtId="4" fontId="23" fillId="0" borderId="60" xfId="0" applyNumberFormat="1" applyFont="1" applyFill="1" applyBorder="1" applyAlignment="1">
      <alignment vertical="center" wrapText="1"/>
    </xf>
    <xf numFmtId="4" fontId="23" fillId="0" borderId="59" xfId="0" applyNumberFormat="1" applyFont="1" applyFill="1" applyBorder="1" applyAlignment="1">
      <alignment vertical="center" wrapText="1"/>
    </xf>
    <xf numFmtId="0" fontId="24" fillId="0" borderId="24" xfId="0" applyFont="1" applyFill="1" applyBorder="1" applyAlignment="1">
      <alignment vertical="center" wrapText="1"/>
    </xf>
    <xf numFmtId="0" fontId="24" fillId="0" borderId="59" xfId="0" applyFont="1" applyFill="1" applyBorder="1" applyAlignment="1">
      <alignment vertical="center" wrapText="1"/>
    </xf>
    <xf numFmtId="0" fontId="24" fillId="0" borderId="53" xfId="0" applyFont="1" applyBorder="1" applyAlignment="1">
      <alignment horizontal="center" vertical="center" wrapText="1"/>
    </xf>
    <xf numFmtId="0" fontId="24" fillId="0" borderId="99" xfId="0" applyFont="1" applyBorder="1" applyAlignment="1">
      <alignment horizontal="center" vertical="center" wrapText="1"/>
    </xf>
    <xf numFmtId="4" fontId="23" fillId="13" borderId="60" xfId="0" applyNumberFormat="1" applyFont="1" applyFill="1" applyBorder="1" applyAlignment="1">
      <alignment vertical="center" wrapText="1"/>
    </xf>
    <xf numFmtId="4" fontId="23" fillId="13" borderId="59" xfId="0" applyNumberFormat="1" applyFont="1" applyFill="1" applyBorder="1" applyAlignment="1">
      <alignment vertical="center" wrapText="1"/>
    </xf>
    <xf numFmtId="4" fontId="24" fillId="13" borderId="60" xfId="0" applyNumberFormat="1" applyFont="1" applyFill="1" applyBorder="1" applyAlignment="1">
      <alignment vertical="center" wrapText="1"/>
    </xf>
    <xf numFmtId="4" fontId="24" fillId="13" borderId="59" xfId="0" applyNumberFormat="1" applyFont="1" applyFill="1" applyBorder="1" applyAlignment="1">
      <alignment vertical="center" wrapText="1"/>
    </xf>
    <xf numFmtId="4" fontId="23" fillId="0" borderId="100" xfId="0" applyNumberFormat="1" applyFont="1" applyFill="1" applyBorder="1" applyAlignment="1">
      <alignment vertical="center" wrapText="1"/>
    </xf>
    <xf numFmtId="4" fontId="23" fillId="13" borderId="100" xfId="0" applyNumberFormat="1" applyFont="1" applyFill="1" applyBorder="1" applyAlignment="1">
      <alignment vertical="center" wrapText="1"/>
    </xf>
    <xf numFmtId="0" fontId="24" fillId="0" borderId="8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87" xfId="0" applyFont="1" applyBorder="1" applyAlignment="1">
      <alignment horizontal="center" vertical="center" wrapText="1"/>
    </xf>
    <xf numFmtId="0" fontId="24" fillId="0" borderId="98" xfId="0" applyFont="1" applyBorder="1" applyAlignment="1">
      <alignment horizontal="center" vertical="center" wrapText="1"/>
    </xf>
    <xf numFmtId="0" fontId="24" fillId="13" borderId="24" xfId="0" applyFont="1" applyFill="1" applyBorder="1" applyAlignment="1">
      <alignment vertical="center" wrapText="1"/>
    </xf>
    <xf numFmtId="0" fontId="24" fillId="13" borderId="59" xfId="0" applyFont="1" applyFill="1" applyBorder="1" applyAlignment="1">
      <alignment vertical="center" wrapText="1"/>
    </xf>
    <xf numFmtId="0" fontId="24" fillId="0" borderId="95" xfId="0" applyFont="1" applyBorder="1" applyAlignment="1">
      <alignment horizontal="center" vertical="center" wrapText="1"/>
    </xf>
    <xf numFmtId="0" fontId="23" fillId="0" borderId="55" xfId="0" applyFont="1" applyBorder="1" applyAlignment="1">
      <alignment vertical="center" wrapText="1"/>
    </xf>
    <xf numFmtId="0" fontId="23" fillId="0" borderId="11" xfId="0" applyFont="1" applyBorder="1" applyAlignment="1">
      <alignment vertical="center" wrapText="1"/>
    </xf>
    <xf numFmtId="0" fontId="23" fillId="0" borderId="93" xfId="0" applyFont="1" applyBorder="1" applyAlignment="1">
      <alignment vertical="center" wrapText="1"/>
    </xf>
    <xf numFmtId="0" fontId="23" fillId="0" borderId="63" xfId="0" applyFont="1" applyBorder="1" applyAlignment="1">
      <alignment vertical="center" wrapText="1"/>
    </xf>
    <xf numFmtId="0" fontId="23" fillId="0" borderId="64" xfId="0" applyFont="1" applyBorder="1" applyAlignment="1">
      <alignment vertical="center" wrapText="1"/>
    </xf>
    <xf numFmtId="0" fontId="23" fillId="0" borderId="1" xfId="0" applyFont="1" applyBorder="1" applyAlignment="1">
      <alignment vertical="center" wrapText="1"/>
    </xf>
    <xf numFmtId="0" fontId="23" fillId="0" borderId="88" xfId="0" applyFont="1" applyBorder="1" applyAlignment="1">
      <alignment vertical="center" wrapText="1"/>
    </xf>
    <xf numFmtId="0" fontId="24" fillId="0" borderId="92" xfId="0" applyFont="1" applyBorder="1" applyAlignment="1">
      <alignment vertical="center" wrapText="1"/>
    </xf>
    <xf numFmtId="0" fontId="24" fillId="0" borderId="11" xfId="0" applyFont="1" applyBorder="1" applyAlignment="1">
      <alignment vertical="center" wrapText="1"/>
    </xf>
    <xf numFmtId="0" fontId="23" fillId="0" borderId="83" xfId="0" applyFont="1" applyBorder="1" applyAlignment="1">
      <alignment vertical="center" wrapText="1"/>
    </xf>
    <xf numFmtId="0" fontId="23" fillId="0" borderId="84" xfId="0" applyFont="1" applyBorder="1" applyAlignment="1">
      <alignment vertical="center" wrapText="1"/>
    </xf>
    <xf numFmtId="0" fontId="23" fillId="0" borderId="0" xfId="0" applyFont="1" applyBorder="1" applyAlignment="1"/>
    <xf numFmtId="0" fontId="23" fillId="0" borderId="87" xfId="0" applyFont="1" applyBorder="1" applyAlignment="1"/>
    <xf numFmtId="10" fontId="23" fillId="0" borderId="25" xfId="0" applyNumberFormat="1" applyFont="1" applyBorder="1" applyAlignment="1" applyProtection="1">
      <alignment horizontal="center" vertical="center" wrapText="1"/>
      <protection locked="0"/>
    </xf>
    <xf numFmtId="0" fontId="23" fillId="0" borderId="96" xfId="0" applyFont="1" applyBorder="1" applyAlignment="1" applyProtection="1">
      <alignment horizontal="center" vertical="center" wrapText="1"/>
      <protection locked="0"/>
    </xf>
    <xf numFmtId="0" fontId="23" fillId="0" borderId="91" xfId="0" applyFont="1" applyBorder="1" applyAlignment="1">
      <alignment vertical="center" wrapText="1"/>
    </xf>
    <xf numFmtId="0" fontId="23" fillId="0" borderId="29" xfId="0" applyFont="1" applyBorder="1" applyAlignment="1">
      <alignment vertical="center" wrapText="1"/>
    </xf>
    <xf numFmtId="0" fontId="23" fillId="0" borderId="86" xfId="0" applyFont="1" applyBorder="1" applyAlignment="1">
      <alignment vertical="center" wrapText="1"/>
    </xf>
    <xf numFmtId="0" fontId="8" fillId="0" borderId="64" xfId="0" applyFont="1" applyBorder="1" applyAlignment="1">
      <alignment vertical="center" wrapText="1"/>
    </xf>
    <xf numFmtId="0" fontId="8" fillId="0" borderId="1" xfId="0" applyFont="1" applyBorder="1" applyAlignment="1">
      <alignment vertical="center" wrapText="1"/>
    </xf>
    <xf numFmtId="0" fontId="8" fillId="0" borderId="88" xfId="0" applyFont="1" applyBorder="1" applyAlignment="1">
      <alignment vertical="center" wrapText="1"/>
    </xf>
    <xf numFmtId="0" fontId="23" fillId="0" borderId="0" xfId="0" applyFont="1" applyBorder="1" applyAlignment="1">
      <alignment vertical="center"/>
    </xf>
    <xf numFmtId="0" fontId="23" fillId="0" borderId="25" xfId="0" applyFont="1" applyBorder="1" applyAlignment="1" applyProtection="1">
      <alignment vertical="center" wrapText="1"/>
      <protection locked="0"/>
    </xf>
    <xf numFmtId="14" fontId="23" fillId="0" borderId="25" xfId="0" applyNumberFormat="1"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14" fontId="23" fillId="0" borderId="25" xfId="0" applyNumberFormat="1"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25" fillId="0" borderId="82"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85" xfId="0" applyFont="1" applyBorder="1" applyAlignment="1">
      <alignment horizontal="center" vertical="center" wrapText="1"/>
    </xf>
    <xf numFmtId="0" fontId="24" fillId="0" borderId="97"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Border="1" applyAlignment="1">
      <alignment vertical="center" wrapText="1"/>
    </xf>
    <xf numFmtId="0" fontId="24" fillId="0" borderId="87" xfId="0" applyFont="1" applyBorder="1" applyAlignment="1">
      <alignment vertical="center" wrapText="1"/>
    </xf>
  </cellXfs>
  <cellStyles count="5">
    <cellStyle name="Comma" xfId="1" builtinId="3"/>
    <cellStyle name="Hyperlink" xfId="4" builtinId="8"/>
    <cellStyle name="Normal" xfId="0" builtinId="0"/>
    <cellStyle name="Normal 2" xfId="3" xr:uid="{00000000-0005-0000-0000-000003000000}"/>
    <cellStyle name="Percent" xfId="2" builtinId="5"/>
  </cellStyles>
  <dxfs count="6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4"/>
        </patternFill>
      </fill>
    </dxf>
    <dxf>
      <fill>
        <patternFill>
          <bgColor rgb="FFFFFF00"/>
        </patternFill>
      </fill>
    </dxf>
    <dxf>
      <fill>
        <patternFill>
          <bgColor rgb="FFFF0000"/>
        </patternFill>
      </fill>
    </dxf>
    <dxf>
      <fill>
        <patternFill>
          <bgColor rgb="FFFF0000"/>
        </patternFill>
      </fill>
    </dxf>
    <dxf>
      <fill>
        <patternFill>
          <bgColor indexed="44"/>
        </patternFill>
      </fill>
    </dxf>
    <dxf>
      <fill>
        <patternFill>
          <bgColor indexed="44"/>
        </patternFill>
      </fill>
    </dxf>
    <dxf>
      <fill>
        <patternFill>
          <bgColor indexed="44"/>
        </patternFill>
      </fill>
    </dxf>
    <dxf>
      <fill>
        <patternFill>
          <bgColor rgb="FFFFFF00"/>
        </patternFill>
      </fill>
    </dxf>
    <dxf>
      <fill>
        <patternFill>
          <bgColor rgb="FFFF0000"/>
        </patternFill>
      </fill>
    </dxf>
    <dxf>
      <fill>
        <patternFill>
          <bgColor rgb="FFFF0000"/>
        </patternFill>
      </fill>
    </dxf>
    <dxf>
      <fill>
        <patternFill>
          <bgColor indexed="44"/>
        </patternFill>
      </fill>
    </dxf>
    <dxf>
      <fill>
        <patternFill>
          <bgColor indexed="44"/>
        </patternFill>
      </fill>
    </dxf>
    <dxf>
      <fill>
        <patternFill>
          <bgColor indexed="44"/>
        </patternFill>
      </fill>
    </dxf>
    <dxf>
      <fill>
        <patternFill>
          <bgColor rgb="FFFFFF00"/>
        </patternFill>
      </fill>
    </dxf>
    <dxf>
      <fill>
        <patternFill>
          <bgColor rgb="FFFF0000"/>
        </patternFill>
      </fill>
    </dxf>
    <dxf>
      <fill>
        <patternFill>
          <bgColor rgb="FFFF0000"/>
        </patternFill>
      </fill>
    </dxf>
    <dxf>
      <fill>
        <patternFill>
          <bgColor indexed="44"/>
        </patternFill>
      </fill>
    </dxf>
    <dxf>
      <fill>
        <patternFill>
          <bgColor indexed="44"/>
        </patternFill>
      </fill>
    </dxf>
    <dxf>
      <fill>
        <patternFill>
          <bgColor indexed="44"/>
        </patternFill>
      </fill>
    </dxf>
    <dxf>
      <fill>
        <patternFill>
          <bgColor rgb="FFFFFF00"/>
        </patternFill>
      </fill>
    </dxf>
    <dxf>
      <fill>
        <patternFill>
          <bgColor rgb="FFFF0000"/>
        </patternFill>
      </fill>
    </dxf>
    <dxf>
      <fill>
        <patternFill>
          <bgColor rgb="FFFF0000"/>
        </patternFill>
      </fill>
    </dxf>
    <dxf>
      <fill>
        <patternFill>
          <bgColor indexed="44"/>
        </patternFill>
      </fill>
    </dxf>
    <dxf>
      <fill>
        <patternFill>
          <bgColor indexed="44"/>
        </patternFill>
      </fill>
    </dxf>
    <dxf>
      <fill>
        <patternFill>
          <bgColor indexed="44"/>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EAEAEA"/>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falchi\AppData\Local\Microsoft\Windows\Temporary%20Internet%20Files\Content.Outlook\Y7PNKLO5\campus%20RR%20Budget%20Template%20-%20FY12%20ST%20Instruction%20201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sonnel Yr 1"/>
      <sheetName val="Personnel Yr 2"/>
      <sheetName val="Personnel Yr 3"/>
      <sheetName val="Personnel Yr 4"/>
      <sheetName val="Personnel Yr 5"/>
      <sheetName val="Non-personnel"/>
      <sheetName val="Summary"/>
      <sheetName val="File Copy"/>
      <sheetName val="File Copy - No Salary"/>
      <sheetName val="Drop Choices"/>
      <sheetName val="Justification"/>
      <sheetName val="424a"/>
      <sheetName val="ED524"/>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t="str">
            <v>Dr</v>
          </cell>
          <cell r="B2" t="str">
            <v>MTDC</v>
          </cell>
          <cell r="C2" t="str">
            <v>Federal</v>
          </cell>
          <cell r="D2">
            <v>0.21199999999999999</v>
          </cell>
          <cell r="G2" t="str">
            <v>Instruction - Off Campus</v>
          </cell>
          <cell r="H2">
            <v>0.26</v>
          </cell>
          <cell r="I2" t="str">
            <v>Research - On Campus - 48.00%</v>
          </cell>
          <cell r="J2" t="str">
            <v>Instruction - Off Campus</v>
          </cell>
          <cell r="K2">
            <v>0.26</v>
          </cell>
          <cell r="L2" t="str">
            <v>PI</v>
          </cell>
          <cell r="M2">
            <v>1</v>
          </cell>
          <cell r="O2" t="str">
            <v>FY12 - $1206</v>
          </cell>
        </row>
        <row r="3">
          <cell r="A3" t="str">
            <v>Prof</v>
          </cell>
          <cell r="B3" t="str">
            <v>TDC</v>
          </cell>
          <cell r="C3" t="str">
            <v>Fnd/Prof Soc</v>
          </cell>
          <cell r="D3">
            <v>0.49</v>
          </cell>
          <cell r="G3" t="str">
            <v>Instruction - On Campus</v>
          </cell>
          <cell r="H3">
            <v>0.32</v>
          </cell>
          <cell r="I3" t="str">
            <v>Instruction - On Campus - 32.00%</v>
          </cell>
          <cell r="J3" t="str">
            <v>Instruction - On Campus</v>
          </cell>
          <cell r="K3">
            <v>0.32</v>
          </cell>
          <cell r="L3" t="str">
            <v>Co-PI</v>
          </cell>
          <cell r="M3">
            <v>2</v>
          </cell>
          <cell r="O3" t="str">
            <v>FY13 - $1252</v>
          </cell>
        </row>
        <row r="4">
          <cell r="A4" t="str">
            <v>Ms</v>
          </cell>
          <cell r="B4" t="str">
            <v>SWFB</v>
          </cell>
          <cell r="C4" t="str">
            <v>Full</v>
          </cell>
          <cell r="D4">
            <v>0.35499999999999998</v>
          </cell>
          <cell r="G4" t="str">
            <v>Other - Off Campus</v>
          </cell>
          <cell r="H4">
            <v>0.26</v>
          </cell>
          <cell r="I4" t="str">
            <v>Other - On Campus - 33.00%</v>
          </cell>
          <cell r="J4" t="str">
            <v>Other - Off Campus</v>
          </cell>
          <cell r="K4">
            <v>0.26</v>
          </cell>
          <cell r="L4" t="str">
            <v>Co-Investigator</v>
          </cell>
          <cell r="M4">
            <v>3</v>
          </cell>
          <cell r="O4" t="str">
            <v>FY14 - $1300</v>
          </cell>
        </row>
        <row r="5">
          <cell r="A5" t="str">
            <v>Mrs</v>
          </cell>
          <cell r="B5" t="str">
            <v>NSF</v>
          </cell>
          <cell r="C5" t="str">
            <v>Summer</v>
          </cell>
          <cell r="D5">
            <v>0.192</v>
          </cell>
          <cell r="G5" t="str">
            <v>Other - On Campus</v>
          </cell>
          <cell r="H5">
            <v>0.33</v>
          </cell>
          <cell r="I5" t="str">
            <v>Research - Off Campus - 26.00%</v>
          </cell>
          <cell r="J5" t="str">
            <v>Other - On Campus</v>
          </cell>
          <cell r="K5">
            <v>0.33</v>
          </cell>
          <cell r="L5" t="str">
            <v>Fellow</v>
          </cell>
          <cell r="M5">
            <v>4</v>
          </cell>
          <cell r="O5" t="str">
            <v>FY15 - $1349</v>
          </cell>
        </row>
        <row r="6">
          <cell r="A6" t="str">
            <v>Mr</v>
          </cell>
          <cell r="C6" t="str">
            <v>Temp</v>
          </cell>
          <cell r="D6">
            <v>8.2000000000000003E-2</v>
          </cell>
          <cell r="G6" t="str">
            <v>Research - Off Campus</v>
          </cell>
          <cell r="H6">
            <v>0.26</v>
          </cell>
          <cell r="I6" t="str">
            <v>Instruction - Off Campus - 26.00%</v>
          </cell>
          <cell r="J6" t="str">
            <v>Research - Off Campus</v>
          </cell>
          <cell r="K6">
            <v>0.26</v>
          </cell>
          <cell r="L6" t="str">
            <v>Project Director</v>
          </cell>
          <cell r="M6">
            <v>5</v>
          </cell>
        </row>
        <row r="7">
          <cell r="A7" t="str">
            <v>Rev</v>
          </cell>
          <cell r="G7" t="str">
            <v>Research - On Campus</v>
          </cell>
          <cell r="H7">
            <v>0.47</v>
          </cell>
          <cell r="I7" t="str">
            <v>Other - Off Campus - 26.00%</v>
          </cell>
          <cell r="J7" t="str">
            <v>Research - On Campus</v>
          </cell>
          <cell r="K7">
            <v>0.48</v>
          </cell>
          <cell r="L7" t="str">
            <v>Statistician</v>
          </cell>
        </row>
      </sheetData>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grants.nih.gov/grants/funding/modular/modular_faq_pub.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grants.nih.gov/grants/funding/modular/modular_faq_pub.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abSelected="1" zoomScaleNormal="100" workbookViewId="0">
      <selection sqref="A1:K1"/>
    </sheetView>
  </sheetViews>
  <sheetFormatPr defaultColWidth="8.85546875" defaultRowHeight="12.75" x14ac:dyDescent="0.2"/>
  <cols>
    <col min="1" max="16384" width="8.85546875" style="250"/>
  </cols>
  <sheetData>
    <row r="1" spans="1:11" ht="14.25" customHeight="1" x14ac:dyDescent="0.25">
      <c r="A1" s="536" t="s">
        <v>528</v>
      </c>
      <c r="B1" s="536"/>
      <c r="C1" s="536"/>
      <c r="D1" s="536"/>
      <c r="E1" s="536"/>
      <c r="F1" s="536"/>
      <c r="G1" s="536"/>
      <c r="H1" s="536"/>
      <c r="I1" s="536"/>
      <c r="J1" s="536"/>
      <c r="K1" s="536"/>
    </row>
    <row r="2" spans="1:11" ht="14.25" customHeight="1" x14ac:dyDescent="0.2">
      <c r="A2" s="537" t="s">
        <v>220</v>
      </c>
      <c r="B2" s="537"/>
      <c r="C2" s="537"/>
      <c r="D2" s="537"/>
      <c r="E2" s="537"/>
      <c r="F2" s="537"/>
      <c r="G2" s="537"/>
      <c r="H2" s="537"/>
      <c r="I2" s="537"/>
      <c r="J2" s="537"/>
      <c r="K2" s="537"/>
    </row>
    <row r="3" spans="1:11" ht="14.25" customHeight="1" x14ac:dyDescent="0.2">
      <c r="A3" s="537" t="s">
        <v>529</v>
      </c>
      <c r="B3" s="537"/>
      <c r="C3" s="537"/>
      <c r="D3" s="537"/>
      <c r="E3" s="537"/>
      <c r="F3" s="537"/>
      <c r="G3" s="537"/>
      <c r="H3" s="537"/>
      <c r="I3" s="537"/>
      <c r="J3" s="537"/>
      <c r="K3" s="537"/>
    </row>
    <row r="4" spans="1:11" ht="14.25" customHeight="1" x14ac:dyDescent="0.25">
      <c r="A4" s="538" t="s">
        <v>221</v>
      </c>
      <c r="B4" s="538"/>
      <c r="C4" s="538"/>
      <c r="D4" s="538"/>
      <c r="E4" s="538"/>
      <c r="F4" s="538"/>
      <c r="G4" s="538"/>
      <c r="H4" s="538"/>
      <c r="I4" s="538"/>
      <c r="J4" s="538"/>
      <c r="K4" s="538"/>
    </row>
    <row r="5" spans="1:11" ht="14.25" customHeight="1" x14ac:dyDescent="0.2">
      <c r="A5" s="539" t="s">
        <v>227</v>
      </c>
      <c r="B5" s="539"/>
      <c r="C5" s="540" t="s">
        <v>224</v>
      </c>
      <c r="D5" s="540"/>
      <c r="E5" s="540"/>
      <c r="F5" s="540"/>
      <c r="G5" s="540"/>
      <c r="H5" s="540"/>
      <c r="I5" s="540"/>
      <c r="J5" s="540"/>
      <c r="K5" s="540"/>
    </row>
    <row r="6" spans="1:11" ht="14.25" customHeight="1" x14ac:dyDescent="0.2">
      <c r="A6" s="541" t="s">
        <v>228</v>
      </c>
      <c r="B6" s="541"/>
      <c r="C6" s="540" t="s">
        <v>225</v>
      </c>
      <c r="D6" s="540"/>
      <c r="E6" s="540"/>
      <c r="F6" s="540"/>
      <c r="G6" s="540"/>
      <c r="H6" s="540"/>
      <c r="I6" s="540"/>
      <c r="J6" s="540"/>
      <c r="K6" s="540"/>
    </row>
    <row r="7" spans="1:11" ht="14.25" customHeight="1" x14ac:dyDescent="0.2">
      <c r="A7" s="542" t="s">
        <v>229</v>
      </c>
      <c r="B7" s="542"/>
      <c r="C7" s="540" t="s">
        <v>226</v>
      </c>
      <c r="D7" s="540"/>
      <c r="E7" s="540"/>
      <c r="F7" s="540"/>
      <c r="G7" s="540"/>
      <c r="H7" s="540"/>
      <c r="I7" s="540"/>
      <c r="J7" s="540"/>
      <c r="K7" s="540"/>
    </row>
    <row r="8" spans="1:11" ht="14.25" customHeight="1" x14ac:dyDescent="0.2">
      <c r="A8" s="249"/>
      <c r="B8" s="249"/>
      <c r="C8" s="249"/>
      <c r="D8" s="249"/>
      <c r="E8" s="249"/>
      <c r="F8" s="249"/>
      <c r="G8" s="249"/>
      <c r="H8" s="249"/>
      <c r="I8" s="249"/>
      <c r="J8" s="249"/>
      <c r="K8" s="249"/>
    </row>
    <row r="9" spans="1:11" ht="14.25" customHeight="1" x14ac:dyDescent="0.25">
      <c r="A9" s="538" t="s">
        <v>222</v>
      </c>
      <c r="B9" s="538"/>
      <c r="C9" s="538"/>
      <c r="D9" s="538"/>
      <c r="E9" s="538"/>
      <c r="F9" s="538"/>
      <c r="G9" s="538"/>
      <c r="H9" s="538"/>
      <c r="I9" s="538"/>
      <c r="J9" s="538"/>
      <c r="K9" s="538"/>
    </row>
    <row r="10" spans="1:11" ht="14.25" x14ac:dyDescent="0.2">
      <c r="A10" s="190" t="s">
        <v>231</v>
      </c>
      <c r="B10" s="535" t="s">
        <v>516</v>
      </c>
      <c r="C10" s="535"/>
      <c r="D10" s="535"/>
      <c r="E10" s="535"/>
      <c r="F10" s="535"/>
      <c r="G10" s="535"/>
      <c r="H10" s="535"/>
      <c r="I10" s="535"/>
      <c r="J10" s="535"/>
      <c r="K10" s="535"/>
    </row>
    <row r="11" spans="1:11" ht="14.25" x14ac:dyDescent="0.2">
      <c r="A11" s="190" t="s">
        <v>232</v>
      </c>
      <c r="B11" s="535" t="s">
        <v>486</v>
      </c>
      <c r="C11" s="535"/>
      <c r="D11" s="535"/>
      <c r="E11" s="535"/>
      <c r="F11" s="535"/>
      <c r="G11" s="535"/>
      <c r="H11" s="535"/>
      <c r="I11" s="535"/>
      <c r="J11" s="535"/>
      <c r="K11" s="535"/>
    </row>
    <row r="12" spans="1:11" s="406" customFormat="1" ht="33" customHeight="1" x14ac:dyDescent="0.2">
      <c r="A12" s="190" t="s">
        <v>233</v>
      </c>
      <c r="B12" s="535" t="s">
        <v>506</v>
      </c>
      <c r="C12" s="535"/>
      <c r="D12" s="535"/>
      <c r="E12" s="535"/>
      <c r="F12" s="535"/>
      <c r="G12" s="535"/>
      <c r="H12" s="535"/>
      <c r="I12" s="535"/>
      <c r="J12" s="535"/>
      <c r="K12" s="535"/>
    </row>
    <row r="13" spans="1:11" ht="33" hidden="1" customHeight="1" x14ac:dyDescent="0.2">
      <c r="A13" s="190" t="s">
        <v>404</v>
      </c>
      <c r="B13" s="535" t="s">
        <v>243</v>
      </c>
      <c r="C13" s="535"/>
      <c r="D13" s="535"/>
      <c r="E13" s="535"/>
      <c r="F13" s="535"/>
      <c r="G13" s="535"/>
      <c r="H13" s="535"/>
      <c r="I13" s="535"/>
      <c r="J13" s="535"/>
      <c r="K13" s="535"/>
    </row>
    <row r="14" spans="1:11" ht="14.25" x14ac:dyDescent="0.2">
      <c r="A14" s="251"/>
      <c r="B14" s="544"/>
      <c r="C14" s="544"/>
      <c r="D14" s="544"/>
      <c r="E14" s="544"/>
      <c r="F14" s="544"/>
      <c r="G14" s="544"/>
      <c r="H14" s="544"/>
      <c r="I14" s="544"/>
      <c r="J14" s="544"/>
      <c r="K14" s="544"/>
    </row>
    <row r="15" spans="1:11" ht="14.25" customHeight="1" x14ac:dyDescent="0.25">
      <c r="A15" s="538" t="s">
        <v>514</v>
      </c>
      <c r="B15" s="538"/>
      <c r="C15" s="538"/>
      <c r="D15" s="538"/>
      <c r="E15" s="538"/>
      <c r="F15" s="538"/>
      <c r="G15" s="538"/>
      <c r="H15" s="538"/>
      <c r="I15" s="538"/>
      <c r="J15" s="538"/>
      <c r="K15" s="538"/>
    </row>
    <row r="16" spans="1:11" ht="14.25" x14ac:dyDescent="0.2">
      <c r="A16" s="190" t="s">
        <v>231</v>
      </c>
      <c r="B16" s="535" t="s">
        <v>515</v>
      </c>
      <c r="C16" s="535"/>
      <c r="D16" s="535"/>
      <c r="E16" s="535"/>
      <c r="F16" s="535"/>
      <c r="G16" s="535"/>
      <c r="H16" s="535"/>
      <c r="I16" s="535"/>
      <c r="J16" s="535"/>
      <c r="K16" s="535"/>
    </row>
    <row r="17" spans="1:11" ht="14.25" x14ac:dyDescent="0.2">
      <c r="A17" s="190" t="s">
        <v>232</v>
      </c>
      <c r="B17" s="535" t="s">
        <v>517</v>
      </c>
      <c r="C17" s="535"/>
      <c r="D17" s="535"/>
      <c r="E17" s="535"/>
      <c r="F17" s="535"/>
      <c r="G17" s="535"/>
      <c r="H17" s="535"/>
      <c r="I17" s="535"/>
      <c r="J17" s="535"/>
      <c r="K17" s="535"/>
    </row>
    <row r="18" spans="1:11" ht="14.25" x14ac:dyDescent="0.2">
      <c r="A18" s="252"/>
      <c r="B18" s="544"/>
      <c r="C18" s="544"/>
      <c r="D18" s="544"/>
      <c r="E18" s="544"/>
      <c r="F18" s="544"/>
      <c r="G18" s="544"/>
      <c r="H18" s="544"/>
      <c r="I18" s="544"/>
      <c r="J18" s="544"/>
      <c r="K18" s="544"/>
    </row>
    <row r="19" spans="1:11" ht="14.25" customHeight="1" x14ac:dyDescent="0.25">
      <c r="A19" s="538" t="s">
        <v>223</v>
      </c>
      <c r="B19" s="538"/>
      <c r="C19" s="538"/>
      <c r="D19" s="538"/>
      <c r="E19" s="538"/>
      <c r="F19" s="538"/>
      <c r="G19" s="538"/>
      <c r="H19" s="538"/>
      <c r="I19" s="538"/>
      <c r="J19" s="538"/>
      <c r="K19" s="538"/>
    </row>
    <row r="20" spans="1:11" ht="14.25" x14ac:dyDescent="0.2">
      <c r="A20" s="190" t="s">
        <v>231</v>
      </c>
      <c r="B20" s="535" t="s">
        <v>230</v>
      </c>
      <c r="C20" s="535"/>
      <c r="D20" s="535"/>
      <c r="E20" s="535"/>
      <c r="F20" s="535"/>
      <c r="G20" s="535"/>
      <c r="H20" s="535"/>
      <c r="I20" s="535"/>
      <c r="J20" s="535"/>
      <c r="K20" s="535"/>
    </row>
    <row r="21" spans="1:11" s="406" customFormat="1" ht="14.25" x14ac:dyDescent="0.2">
      <c r="A21" s="251"/>
      <c r="B21" s="544"/>
      <c r="C21" s="544"/>
      <c r="D21" s="544"/>
      <c r="E21" s="544"/>
      <c r="F21" s="544"/>
      <c r="G21" s="544"/>
      <c r="H21" s="544"/>
      <c r="I21" s="544"/>
      <c r="J21" s="544"/>
      <c r="K21" s="544"/>
    </row>
    <row r="22" spans="1:11" ht="14.25" customHeight="1" x14ac:dyDescent="0.25">
      <c r="A22" s="538" t="s">
        <v>508</v>
      </c>
      <c r="B22" s="538"/>
      <c r="C22" s="538"/>
      <c r="D22" s="538"/>
      <c r="E22" s="538"/>
      <c r="F22" s="538"/>
      <c r="G22" s="538"/>
      <c r="H22" s="538"/>
      <c r="I22" s="538"/>
      <c r="J22" s="538"/>
      <c r="K22" s="538"/>
    </row>
    <row r="23" spans="1:11" ht="58.5" customHeight="1" x14ac:dyDescent="0.2">
      <c r="A23" s="190" t="s">
        <v>231</v>
      </c>
      <c r="B23" s="535" t="s">
        <v>509</v>
      </c>
      <c r="C23" s="535"/>
      <c r="D23" s="535"/>
      <c r="E23" s="535"/>
      <c r="F23" s="535"/>
      <c r="G23" s="535"/>
      <c r="H23" s="535"/>
      <c r="I23" s="535"/>
      <c r="J23" s="535"/>
      <c r="K23" s="535"/>
    </row>
    <row r="24" spans="1:11" ht="14.25" x14ac:dyDescent="0.2">
      <c r="A24" s="190" t="s">
        <v>232</v>
      </c>
      <c r="B24" s="535" t="s">
        <v>522</v>
      </c>
      <c r="C24" s="535"/>
      <c r="D24" s="535"/>
      <c r="E24" s="535"/>
      <c r="F24" s="535"/>
      <c r="G24" s="535"/>
      <c r="H24" s="535"/>
      <c r="I24" s="535"/>
      <c r="J24" s="535"/>
      <c r="K24" s="535"/>
    </row>
    <row r="25" spans="1:11" ht="14.25" customHeight="1" x14ac:dyDescent="0.2">
      <c r="A25" s="249"/>
      <c r="B25" s="535" t="s">
        <v>523</v>
      </c>
      <c r="C25" s="535"/>
      <c r="D25" s="535"/>
      <c r="E25" s="535"/>
      <c r="F25" s="535"/>
      <c r="G25" s="535"/>
      <c r="H25" s="535"/>
      <c r="I25" s="535"/>
      <c r="J25" s="535"/>
      <c r="K25" s="535"/>
    </row>
    <row r="26" spans="1:11" ht="14.25" customHeight="1" x14ac:dyDescent="0.2">
      <c r="A26" s="249"/>
      <c r="C26" s="543" t="s">
        <v>524</v>
      </c>
      <c r="D26" s="543"/>
      <c r="E26" s="543"/>
      <c r="F26" s="543"/>
      <c r="G26" s="543"/>
      <c r="H26" s="543"/>
      <c r="I26" s="543"/>
      <c r="J26" s="543"/>
      <c r="K26" s="543"/>
    </row>
    <row r="27" spans="1:11" ht="14.25" customHeight="1" x14ac:dyDescent="0.2">
      <c r="A27" s="249"/>
      <c r="B27" s="249"/>
      <c r="C27" s="249" t="s">
        <v>525</v>
      </c>
      <c r="D27" s="249"/>
      <c r="E27" s="249"/>
      <c r="F27" s="249"/>
      <c r="G27" s="249"/>
      <c r="H27" s="249"/>
      <c r="I27" s="249"/>
      <c r="J27" s="249"/>
      <c r="K27" s="249"/>
    </row>
    <row r="28" spans="1:11" ht="14.25" customHeight="1" x14ac:dyDescent="0.2">
      <c r="A28" s="249"/>
      <c r="B28" s="249"/>
      <c r="C28" s="543" t="s">
        <v>526</v>
      </c>
      <c r="D28" s="543"/>
      <c r="E28" s="543"/>
      <c r="F28" s="543"/>
      <c r="G28" s="543"/>
      <c r="H28" s="543"/>
      <c r="I28" s="543"/>
      <c r="J28" s="543"/>
      <c r="K28" s="543"/>
    </row>
    <row r="29" spans="1:11" ht="14.25" customHeight="1" x14ac:dyDescent="0.2">
      <c r="A29" s="249"/>
      <c r="B29" s="249"/>
      <c r="C29" s="249"/>
      <c r="D29" s="249"/>
      <c r="E29" s="249"/>
      <c r="F29" s="249"/>
      <c r="G29" s="249"/>
      <c r="H29" s="249"/>
      <c r="I29" s="249"/>
      <c r="J29" s="249"/>
      <c r="K29" s="249"/>
    </row>
    <row r="30" spans="1:11" ht="14.25" customHeight="1" x14ac:dyDescent="0.2">
      <c r="A30" s="249"/>
      <c r="B30" s="249"/>
      <c r="C30" s="249"/>
      <c r="D30" s="249"/>
      <c r="E30" s="249"/>
      <c r="F30" s="249"/>
      <c r="G30" s="249"/>
      <c r="H30" s="249"/>
      <c r="I30" s="249"/>
      <c r="J30" s="249"/>
      <c r="K30" s="249"/>
    </row>
    <row r="31" spans="1:11" ht="14.25" customHeight="1" x14ac:dyDescent="0.2">
      <c r="A31" s="249"/>
      <c r="B31" s="249"/>
      <c r="C31" s="249"/>
      <c r="D31" s="249"/>
      <c r="E31" s="249"/>
      <c r="F31" s="249"/>
      <c r="G31" s="249"/>
      <c r="H31" s="249"/>
      <c r="I31" s="249"/>
      <c r="J31" s="249"/>
      <c r="K31" s="249"/>
    </row>
    <row r="32" spans="1:11" ht="14.25" customHeight="1" x14ac:dyDescent="0.2">
      <c r="A32" s="249"/>
      <c r="B32" s="249"/>
      <c r="C32" s="249"/>
      <c r="D32" s="249"/>
      <c r="E32" s="249"/>
      <c r="F32" s="249"/>
      <c r="G32" s="249"/>
      <c r="H32" s="249"/>
      <c r="I32" s="249"/>
      <c r="J32" s="249"/>
      <c r="K32" s="249"/>
    </row>
    <row r="33" spans="1:11" ht="14.25" customHeight="1" x14ac:dyDescent="0.2">
      <c r="A33" s="249"/>
      <c r="B33" s="249"/>
      <c r="C33" s="249"/>
      <c r="D33" s="249"/>
      <c r="E33" s="249"/>
      <c r="F33" s="249"/>
      <c r="G33" s="249"/>
      <c r="H33" s="249"/>
      <c r="I33" s="249"/>
      <c r="J33" s="249"/>
      <c r="K33" s="249"/>
    </row>
    <row r="34" spans="1:11" ht="14.25" customHeight="1" x14ac:dyDescent="0.2">
      <c r="A34" s="249"/>
      <c r="B34" s="249"/>
      <c r="C34" s="249"/>
      <c r="D34" s="249"/>
      <c r="E34" s="249"/>
      <c r="F34" s="249"/>
      <c r="G34" s="249"/>
      <c r="H34" s="249"/>
      <c r="I34" s="249"/>
      <c r="J34" s="249"/>
      <c r="K34" s="249"/>
    </row>
    <row r="35" spans="1:11" ht="14.25" customHeight="1" x14ac:dyDescent="0.2">
      <c r="A35" s="249"/>
      <c r="B35" s="249"/>
      <c r="C35" s="249"/>
      <c r="D35" s="249"/>
      <c r="E35" s="249"/>
      <c r="F35" s="249"/>
      <c r="G35" s="249"/>
      <c r="H35" s="249"/>
      <c r="I35" s="249"/>
      <c r="J35" s="249"/>
      <c r="K35" s="249"/>
    </row>
    <row r="36" spans="1:11" ht="14.25" customHeight="1" x14ac:dyDescent="0.2">
      <c r="A36" s="249"/>
      <c r="B36" s="249"/>
      <c r="C36" s="249"/>
      <c r="D36" s="249"/>
      <c r="E36" s="249"/>
      <c r="F36" s="249"/>
      <c r="G36" s="249"/>
      <c r="H36" s="249"/>
      <c r="I36" s="249"/>
      <c r="J36" s="249"/>
      <c r="K36" s="249"/>
    </row>
    <row r="37" spans="1:11" ht="14.25" customHeight="1" x14ac:dyDescent="0.2">
      <c r="A37" s="249"/>
      <c r="B37" s="249"/>
      <c r="C37" s="249"/>
      <c r="D37" s="249"/>
      <c r="E37" s="249"/>
      <c r="F37" s="249"/>
      <c r="G37" s="249"/>
      <c r="H37" s="249"/>
      <c r="I37" s="249"/>
      <c r="J37" s="249"/>
      <c r="K37" s="249"/>
    </row>
    <row r="38" spans="1:11" ht="14.25" customHeight="1" x14ac:dyDescent="0.2">
      <c r="A38" s="249"/>
      <c r="B38" s="249"/>
      <c r="C38" s="249"/>
      <c r="D38" s="249"/>
      <c r="E38" s="249"/>
      <c r="F38" s="249"/>
      <c r="G38" s="249"/>
      <c r="H38" s="249"/>
      <c r="I38" s="249"/>
      <c r="J38" s="249"/>
      <c r="K38" s="249"/>
    </row>
    <row r="39" spans="1:11" ht="14.25" customHeight="1" x14ac:dyDescent="0.2">
      <c r="A39" s="249"/>
      <c r="B39" s="249"/>
      <c r="C39" s="249"/>
      <c r="D39" s="249"/>
      <c r="E39" s="249"/>
      <c r="F39" s="249"/>
      <c r="G39" s="249"/>
      <c r="H39" s="249"/>
      <c r="I39" s="249"/>
      <c r="J39" s="249"/>
      <c r="K39" s="249"/>
    </row>
    <row r="40" spans="1:11" ht="14.25" customHeight="1" x14ac:dyDescent="0.2">
      <c r="A40" s="249"/>
      <c r="B40" s="249"/>
      <c r="C40" s="249"/>
      <c r="D40" s="249"/>
      <c r="E40" s="249"/>
      <c r="F40" s="249"/>
      <c r="G40" s="249"/>
      <c r="H40" s="249"/>
      <c r="I40" s="249"/>
      <c r="J40" s="249"/>
      <c r="K40" s="249"/>
    </row>
    <row r="41" spans="1:11" ht="14.25" customHeight="1" x14ac:dyDescent="0.2">
      <c r="A41" s="249"/>
      <c r="B41" s="249"/>
      <c r="C41" s="249"/>
      <c r="D41" s="249"/>
      <c r="E41" s="249"/>
      <c r="F41" s="249"/>
      <c r="G41" s="249"/>
      <c r="H41" s="249"/>
      <c r="I41" s="249"/>
      <c r="J41" s="249"/>
      <c r="K41" s="249"/>
    </row>
    <row r="42" spans="1:11" ht="14.25" customHeight="1" x14ac:dyDescent="0.2">
      <c r="A42" s="249"/>
      <c r="B42" s="249"/>
      <c r="C42" s="249"/>
      <c r="D42" s="249"/>
      <c r="E42" s="249"/>
      <c r="F42" s="249"/>
      <c r="G42" s="249"/>
      <c r="H42" s="249"/>
      <c r="I42" s="249"/>
      <c r="J42" s="249"/>
      <c r="K42" s="249"/>
    </row>
    <row r="43" spans="1:11" ht="14.25" customHeight="1" x14ac:dyDescent="0.2">
      <c r="A43" s="249"/>
      <c r="B43" s="249"/>
      <c r="C43" s="249"/>
      <c r="D43" s="249"/>
      <c r="E43" s="249"/>
      <c r="F43" s="249"/>
      <c r="G43" s="249"/>
      <c r="H43" s="249"/>
      <c r="I43" s="249"/>
      <c r="J43" s="249"/>
      <c r="K43" s="249"/>
    </row>
    <row r="44" spans="1:11" ht="14.25" customHeight="1" x14ac:dyDescent="0.2">
      <c r="A44" s="249"/>
      <c r="B44" s="249"/>
      <c r="C44" s="249"/>
      <c r="D44" s="249"/>
      <c r="E44" s="249"/>
      <c r="F44" s="249"/>
      <c r="G44" s="249"/>
      <c r="H44" s="249"/>
      <c r="I44" s="249"/>
      <c r="J44" s="249"/>
      <c r="K44" s="249"/>
    </row>
    <row r="45" spans="1:11" ht="14.25" customHeight="1" x14ac:dyDescent="0.2">
      <c r="A45" s="249"/>
      <c r="B45" s="249"/>
      <c r="C45" s="249"/>
      <c r="D45" s="249"/>
      <c r="E45" s="249"/>
      <c r="F45" s="249"/>
      <c r="G45" s="249"/>
      <c r="H45" s="249"/>
      <c r="I45" s="249"/>
      <c r="J45" s="249"/>
      <c r="K45" s="249"/>
    </row>
    <row r="46" spans="1:11" ht="14.25" customHeight="1" x14ac:dyDescent="0.2"/>
  </sheetData>
  <sheetProtection algorithmName="SHA-512" hashValue="0Hr16SIaYQ6AtQTBZMia4DJpNUWZKQph5csr6kpE2VqUW9ygmVKhFSuwP7Nbu+I53gGKqpm+eeiX2xFGhTz9dA==" saltValue="4AprOHBzFJj3+8RIgoX2vQ==" spinCount="100000" sheet="1" objects="1" scenarios="1"/>
  <mergeCells count="29">
    <mergeCell ref="C26:K26"/>
    <mergeCell ref="C28:K28"/>
    <mergeCell ref="B25:K25"/>
    <mergeCell ref="B21:K21"/>
    <mergeCell ref="B12:K12"/>
    <mergeCell ref="A22:K22"/>
    <mergeCell ref="B23:K23"/>
    <mergeCell ref="B17:K17"/>
    <mergeCell ref="B18:K18"/>
    <mergeCell ref="A19:K19"/>
    <mergeCell ref="B20:K20"/>
    <mergeCell ref="B13:K13"/>
    <mergeCell ref="B14:K14"/>
    <mergeCell ref="A15:K15"/>
    <mergeCell ref="B16:K16"/>
    <mergeCell ref="B24:K24"/>
    <mergeCell ref="B11:K11"/>
    <mergeCell ref="B10:K10"/>
    <mergeCell ref="A1:K1"/>
    <mergeCell ref="A2:K2"/>
    <mergeCell ref="A3:K3"/>
    <mergeCell ref="A4:K4"/>
    <mergeCell ref="A5:B5"/>
    <mergeCell ref="C5:K5"/>
    <mergeCell ref="A6:B6"/>
    <mergeCell ref="C6:K6"/>
    <mergeCell ref="A7:B7"/>
    <mergeCell ref="C7:K7"/>
    <mergeCell ref="A9:K9"/>
  </mergeCells>
  <pageMargins left="0.25" right="0.25" top="0.5" bottom="0.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X40"/>
  <sheetViews>
    <sheetView zoomScaleNormal="100" workbookViewId="0">
      <selection sqref="A1:I1"/>
    </sheetView>
  </sheetViews>
  <sheetFormatPr defaultColWidth="8.85546875" defaultRowHeight="12.75" x14ac:dyDescent="0.2"/>
  <cols>
    <col min="1" max="1" width="7.7109375" style="348" customWidth="1"/>
    <col min="2" max="2" width="12.7109375" style="348" customWidth="1"/>
    <col min="3" max="3" width="15.5703125" style="348" customWidth="1"/>
    <col min="4" max="9" width="11" style="348" customWidth="1"/>
    <col min="10" max="10" width="9.140625" style="348" bestFit="1" customWidth="1"/>
    <col min="11" max="18" width="8.85546875" style="348"/>
    <col min="19" max="20" width="8.85546875" style="349"/>
    <col min="21" max="34" width="8.85546875" style="350"/>
    <col min="35" max="44" width="8.85546875" style="444"/>
    <col min="45" max="16384" width="8.85546875" style="285"/>
  </cols>
  <sheetData>
    <row r="1" spans="1:50" ht="18" x14ac:dyDescent="0.2">
      <c r="A1" s="851" t="s">
        <v>448</v>
      </c>
      <c r="B1" s="851"/>
      <c r="C1" s="851"/>
      <c r="D1" s="851"/>
      <c r="E1" s="851"/>
      <c r="F1" s="851"/>
      <c r="G1" s="851"/>
      <c r="H1" s="851"/>
      <c r="I1" s="851"/>
      <c r="S1" s="442"/>
      <c r="T1" s="442"/>
      <c r="AS1" s="443"/>
      <c r="AT1" s="443"/>
      <c r="AU1" s="443"/>
      <c r="AV1" s="443"/>
      <c r="AW1" s="443"/>
      <c r="AX1" s="443"/>
    </row>
    <row r="2" spans="1:50" ht="14.45" customHeight="1" x14ac:dyDescent="0.25">
      <c r="A2" s="852" t="s">
        <v>126</v>
      </c>
      <c r="B2" s="852"/>
      <c r="C2" s="852" t="str">
        <f>CONCATENATE('Personnel Yr 1'!B7, IF(OR(ISBLANK('Personnel Yr 1'!B7),'Personnel Yr 1'!B7=""),""," "),'Personnel Yr 1'!C7, " ",'Personnel Yr 1'!D7,IF(OR(ISBLANK('Personnel Yr 1'!D7),'Personnel Yr 1'!D7=""),""," "),'Personnel Yr 1'!E7," ",'Personnel Yr 1'!F7)</f>
        <v xml:space="preserve">    </v>
      </c>
      <c r="D2" s="852"/>
      <c r="E2" s="351" t="s">
        <v>218</v>
      </c>
      <c r="F2" s="351">
        <f>'Personnel Yr 1'!N4</f>
        <v>0</v>
      </c>
      <c r="H2" s="352" t="s">
        <v>104</v>
      </c>
      <c r="I2" s="353">
        <f>'Personnel Yr 1'!H5</f>
        <v>44713</v>
      </c>
      <c r="K2" s="354" t="s">
        <v>456</v>
      </c>
      <c r="S2" s="442"/>
      <c r="T2" s="442"/>
      <c r="U2" s="350" t="s">
        <v>454</v>
      </c>
      <c r="AB2" s="350" t="s">
        <v>455</v>
      </c>
      <c r="AS2" s="443"/>
      <c r="AT2" s="443"/>
      <c r="AU2" s="443"/>
      <c r="AV2" s="443"/>
      <c r="AW2" s="443"/>
      <c r="AX2" s="443"/>
    </row>
    <row r="3" spans="1:50" ht="14.45" customHeight="1" thickBot="1" x14ac:dyDescent="0.25">
      <c r="A3" s="355"/>
      <c r="D3" s="356"/>
      <c r="E3" s="357"/>
      <c r="F3" s="358"/>
      <c r="K3" s="846" t="str">
        <f>IF(OR(D7&gt;250000,E7&gt;250000,F7&gt;250000,G7&gt;250000,H7&gt;250000),"- Direct Costs less Consortium is over $250,000 in one or more years.","")</f>
        <v/>
      </c>
      <c r="L3" s="846"/>
      <c r="M3" s="846"/>
      <c r="N3" s="846"/>
      <c r="O3" s="846"/>
      <c r="P3" s="846"/>
      <c r="Q3" s="846"/>
      <c r="R3" s="846"/>
      <c r="S3" s="442"/>
      <c r="T3" s="442"/>
      <c r="U3" s="350" t="s">
        <v>35</v>
      </c>
      <c r="V3" s="350" t="s">
        <v>36</v>
      </c>
      <c r="W3" s="350" t="s">
        <v>37</v>
      </c>
      <c r="X3" s="350" t="s">
        <v>38</v>
      </c>
      <c r="Y3" s="350" t="s">
        <v>39</v>
      </c>
      <c r="AB3" s="350" t="s">
        <v>35</v>
      </c>
      <c r="AC3" s="350" t="s">
        <v>36</v>
      </c>
      <c r="AD3" s="350" t="s">
        <v>37</v>
      </c>
      <c r="AE3" s="350" t="s">
        <v>38</v>
      </c>
      <c r="AF3" s="350" t="s">
        <v>39</v>
      </c>
      <c r="AS3" s="443"/>
      <c r="AT3" s="443"/>
      <c r="AU3" s="443"/>
      <c r="AV3" s="443"/>
      <c r="AW3" s="443"/>
      <c r="AX3" s="443"/>
    </row>
    <row r="4" spans="1:50" ht="14.45" customHeight="1" thickBot="1" x14ac:dyDescent="0.25">
      <c r="A4" s="355"/>
      <c r="C4" s="359" t="s">
        <v>447</v>
      </c>
      <c r="D4" s="360">
        <f>D7/25000</f>
        <v>0</v>
      </c>
      <c r="E4" s="360">
        <f>IF('Personnel Yr 1'!J5&gt;1,E7/25000,0)</f>
        <v>0</v>
      </c>
      <c r="F4" s="360">
        <f>IF('Personnel Yr 1'!J5&gt;2,F7/25000,0)</f>
        <v>0</v>
      </c>
      <c r="G4" s="360">
        <f>IF('Personnel Yr 1'!J5&gt;3,G7/25000,0)</f>
        <v>0</v>
      </c>
      <c r="H4" s="360">
        <f>IF('Personnel Yr 1'!J5&gt;4,H7/25000,0)</f>
        <v>0</v>
      </c>
      <c r="I4" s="361">
        <f>SUM(D4:H4)</f>
        <v>0</v>
      </c>
      <c r="K4" s="845" t="str">
        <f>IF(COUNTIF(AG4:AG26,TRUE),"- An investigator has a base salary over $" &amp; NIHSalaryCap &amp; " for calandar appointments or $" &amp; ROUND((NIHSalaryCap*8.5)/12,0) &amp; " for academic appointments.","")</f>
        <v/>
      </c>
      <c r="L4" s="845"/>
      <c r="M4" s="845"/>
      <c r="N4" s="845"/>
      <c r="O4" s="845"/>
      <c r="P4" s="845"/>
      <c r="Q4" s="845"/>
      <c r="R4" s="845"/>
      <c r="S4" s="442"/>
      <c r="T4" s="442"/>
      <c r="U4" s="350" t="b">
        <f>IF('Personnel Yr 1'!$N$5="Federal - NIH",SUM('Non-personnel'!$H$41,'Personnel Yr 1'!$N$23)/IF(OR(ISBLANK('Personnel Yr 1'!$B$23),NOT(ISNUMBER('Personnel Yr 1'!$B$23))),1,'Personnel Yr 1'!$B$23)&gt;NIHGradLimit)</f>
        <v>0</v>
      </c>
      <c r="V4" s="350" t="b">
        <f>IF('Personnel Yr 1'!$N$5="Federal - NIH",SUM('Non-personnel'!$H$41,'Personnel Yr 2'!N23)/IF(OR(ISBLANK('Personnel Yr 2'!B23),NOT(ISNUMBER('Personnel Yr 2'!B23))),1,'Personnel Yr 2'!B23)&gt;NIHGradLimit)</f>
        <v>0</v>
      </c>
      <c r="W4" s="362" t="b">
        <f>IF('Personnel Yr 1'!N5="Federal - NIH",SUM('Non-personnel'!$L$41,'Personnel Yr 3'!N23)/IF(OR(ISBLANK('Personnel Yr 3'!B23),NOT(ISNUMBER('Personnel Yr 3'!B23))),1,'Personnel Yr 3'!B23)&gt;NIHGradLimit)</f>
        <v>0</v>
      </c>
      <c r="X4" s="362" t="b">
        <f>IF('Personnel Yr 1'!N5="Federal - NIH",SUM('Non-personnel'!$N$41,'Personnel Yr 4'!N23)/IF(OR(ISBLANK('Personnel Yr 4'!B23),NOT(ISNUMBER('Personnel Yr 4'!B23))),1,'Personnel Yr 4'!B23)&gt;NIHGradLimit)</f>
        <v>0</v>
      </c>
      <c r="Y4" s="362" t="b">
        <f>IF('Personnel Yr 1'!N5="Federal - NIH",SUM('Non-personnel'!$P$41,'Personnel Yr 5'!N23)/IF(OR(ISBLANK('Personnel Yr 5'!B23),NOT(ISNUMBER('Personnel Yr 5'!B23))),1,'Personnel Yr 5'!B23)&gt;NIHGradLimit)</f>
        <v>0</v>
      </c>
      <c r="Z4" s="362" t="str">
        <f>IF(COUNTIF(U4:Y4,TRUE)&gt;0,"Bad","Good")</f>
        <v>Good</v>
      </c>
      <c r="AA4" s="362"/>
      <c r="AB4" s="350" t="b">
        <f>IF(OR('Personnel Yr 1'!$N$5&lt;&gt;"Federal - NIH",OR(AND(ISBLANK('Personnel Yr 1'!I7),ISBLANK('Personnel Yr 1'!J7),ISBLANK('Personnel Yr 1'!K7)),AND('Personnel Yr 1'!I7="",'Personnel Yr 1'!J7="",'Personnel Yr 1'!K7=""))),FALSE,IF('Personnel Yr 1'!I7&gt;0,'Personnel Yr 1'!H7&gt;NIHSalaryCap,'Personnel Yr 1'!H7&gt;(NIHSalaryCap*8.5)/12))</f>
        <v>0</v>
      </c>
      <c r="AC4" s="350" t="b">
        <f>IF('Personnel Yr 1'!$J$5&gt;1,IF(OR('Personnel Yr 1'!$N$5&lt;&gt;"Federal - NIH",OR(AND(ISBLANK('Personnel Yr 2'!I7),ISBLANK('Personnel Yr 2'!J7),ISBLANK('Personnel Yr 2'!K7)),AND('Personnel Yr 2'!I7="",'Personnel Yr 2'!J7="",'Personnel Yr 2'!K7=""))),FALSE,IF('Personnel Yr 2'!I7&gt;0,'Personnel Yr 2'!H7&gt;NIHSalaryCap,'Personnel Yr 2'!H7&gt;(NIHSalaryCap*8.5)/12)),FALSE)</f>
        <v>0</v>
      </c>
      <c r="AD4" s="350" t="b">
        <f>'Personnel Yr 3'!Y7</f>
        <v>0</v>
      </c>
      <c r="AE4" s="350" t="b">
        <f>'Personnel Yr 4'!Y7</f>
        <v>0</v>
      </c>
      <c r="AF4" s="350" t="b">
        <f>'Personnel Yr 5'!Y7</f>
        <v>0</v>
      </c>
      <c r="AG4" s="350" t="b">
        <f>COUNTIF(AB4:AF4,TRUE)&gt;0</f>
        <v>0</v>
      </c>
      <c r="AH4" s="350" t="str">
        <f>IF(COUNTIF(AG4:AG26,TRUE),"An investigator has a base salary over$" &amp; NIHSalaryCap &amp; " for calandar appointments or $" &amp; ROUND((NIHSalaryCap*8.5)/12,0) &amp; " for academic appointments.","")</f>
        <v/>
      </c>
      <c r="AS4" s="443"/>
      <c r="AT4" s="443"/>
      <c r="AU4" s="443"/>
      <c r="AV4" s="443"/>
      <c r="AW4" s="443"/>
      <c r="AX4" s="443"/>
    </row>
    <row r="5" spans="1:50" ht="14.45" customHeight="1" thickBot="1" x14ac:dyDescent="0.25">
      <c r="B5" s="351"/>
      <c r="C5" s="363"/>
      <c r="D5" s="364" t="s">
        <v>35</v>
      </c>
      <c r="E5" s="352" t="s">
        <v>36</v>
      </c>
      <c r="F5" s="352" t="s">
        <v>37</v>
      </c>
      <c r="G5" s="352" t="s">
        <v>38</v>
      </c>
      <c r="H5" s="352" t="s">
        <v>39</v>
      </c>
      <c r="I5" s="352" t="s">
        <v>40</v>
      </c>
      <c r="K5" s="845"/>
      <c r="L5" s="845"/>
      <c r="M5" s="845"/>
      <c r="N5" s="845"/>
      <c r="O5" s="845"/>
      <c r="P5" s="845"/>
      <c r="Q5" s="845"/>
      <c r="R5" s="845"/>
      <c r="S5" s="442"/>
      <c r="T5" s="442"/>
      <c r="W5" s="362"/>
      <c r="X5" s="362"/>
      <c r="Y5" s="362"/>
      <c r="Z5" s="362"/>
      <c r="AA5" s="362"/>
      <c r="AB5" s="350" t="b">
        <f>IF(OR('Personnel Yr 1'!$N$5&lt;&gt;"Federal - NIH",OR(AND(ISBLANK('Personnel Yr 1'!I8),ISBLANK('Personnel Yr 1'!J8),ISBLANK('Personnel Yr 1'!K8)),AND('Personnel Yr 1'!I8="",'Personnel Yr 1'!J8="",'Personnel Yr 1'!K8=""))),FALSE,IF('Personnel Yr 1'!I8&gt;0,'Personnel Yr 1'!H8&gt;NIHSalaryCap,'Personnel Yr 1'!H8&gt;(NIHSalaryCap*8.5)/12))</f>
        <v>0</v>
      </c>
      <c r="AC5" s="350" t="b">
        <f>IF('Personnel Yr 1'!$J$5&gt;1,IF(OR('Personnel Yr 1'!$N$5&lt;&gt;"Federal - NIH",OR(AND(ISBLANK('Personnel Yr 2'!I8),ISBLANK('Personnel Yr 2'!J8),ISBLANK('Personnel Yr 2'!K8)),AND('Personnel Yr 2'!I8="",'Personnel Yr 2'!J8="",'Personnel Yr 2'!K8=""))),FALSE,IF('Personnel Yr 2'!I8&gt;0,'Personnel Yr 2'!H8&gt;NIHSalaryCap,'Personnel Yr 2'!H8&gt;(NIHSalaryCap*8.5)/12)),FALSE)</f>
        <v>0</v>
      </c>
      <c r="AD5" s="350" t="b">
        <f>'Personnel Yr 3'!Y8</f>
        <v>0</v>
      </c>
      <c r="AE5" s="350" t="b">
        <f>'Personnel Yr 4'!Y8</f>
        <v>0</v>
      </c>
      <c r="AF5" s="350" t="b">
        <f>'Personnel Yr 5'!Y8</f>
        <v>0</v>
      </c>
      <c r="AG5" s="350" t="b">
        <f>COUNTIF(AB5:AF5,TRUE)&gt;0</f>
        <v>0</v>
      </c>
      <c r="AS5" s="443"/>
      <c r="AT5" s="443"/>
      <c r="AU5" s="443"/>
      <c r="AV5" s="443"/>
      <c r="AW5" s="443"/>
      <c r="AX5" s="443"/>
    </row>
    <row r="6" spans="1:50" ht="14.45" customHeight="1" x14ac:dyDescent="0.2">
      <c r="A6" s="352" t="s">
        <v>446</v>
      </c>
      <c r="B6" s="351"/>
      <c r="C6" s="363"/>
      <c r="D6" s="853" t="s">
        <v>438</v>
      </c>
      <c r="E6" s="854"/>
      <c r="F6" s="854"/>
      <c r="G6" s="854"/>
      <c r="H6" s="854"/>
      <c r="I6" s="855"/>
      <c r="K6" s="847" t="str">
        <f>IF(COUNTIF(U4:Y4,TRUE)&gt;0,"- Graduate Student Compensation potentially exceeds NIH cap of $"  &amp; NIHGradLimit &amp; "/student.  Please note: NIH Graduate Student Componsation Cap equals Salary + Fringe Benefits + any Tuition Needs requested.","")</f>
        <v/>
      </c>
      <c r="L6" s="847"/>
      <c r="M6" s="847"/>
      <c r="N6" s="847"/>
      <c r="O6" s="847"/>
      <c r="P6" s="847"/>
      <c r="Q6" s="847"/>
      <c r="R6" s="847"/>
      <c r="S6" s="442"/>
      <c r="T6" s="442"/>
      <c r="W6" s="362"/>
      <c r="X6" s="362"/>
      <c r="Y6" s="362"/>
      <c r="Z6" s="362"/>
      <c r="AA6" s="362"/>
      <c r="AB6" s="350" t="b">
        <f>IF(OR('Personnel Yr 1'!$N$5&lt;&gt;"Federal - NIH",OR(AND(ISBLANK('Personnel Yr 1'!I9),ISBLANK('Personnel Yr 1'!J9),ISBLANK('Personnel Yr 1'!K9)),AND('Personnel Yr 1'!I9="",'Personnel Yr 1'!J9="",'Personnel Yr 1'!K9=""))),FALSE,IF('Personnel Yr 1'!I9&gt;0,'Personnel Yr 1'!H9&gt;NIHSalaryCap,'Personnel Yr 1'!H9&gt;(NIHSalaryCap*8.5)/12))</f>
        <v>0</v>
      </c>
      <c r="AC6" s="350" t="b">
        <f>IF('Personnel Yr 1'!$J$5&gt;1,IF(OR('Personnel Yr 1'!$N$5&lt;&gt;"Federal - NIH",OR(AND(ISBLANK('Personnel Yr 2'!I9),ISBLANK('Personnel Yr 2'!J9),ISBLANK('Personnel Yr 2'!K9)),AND('Personnel Yr 2'!I9="",'Personnel Yr 2'!J9="",'Personnel Yr 2'!K9=""))),FALSE,IF('Personnel Yr 2'!I9&gt;0,'Personnel Yr 2'!H9&gt;NIHSalaryCap,'Personnel Yr 2'!H9&gt;(NIHSalaryCap*8.5)/12)),FALSE)</f>
        <v>0</v>
      </c>
      <c r="AD6" s="350" t="b">
        <f>'Personnel Yr 3'!Y9</f>
        <v>0</v>
      </c>
      <c r="AE6" s="350" t="b">
        <f>'Personnel Yr 4'!Y9</f>
        <v>0</v>
      </c>
      <c r="AF6" s="350" t="b">
        <f>'Personnel Yr 5'!Y9</f>
        <v>0</v>
      </c>
      <c r="AG6" s="350" t="b">
        <f t="shared" ref="AG6:AG26" si="0">COUNTIF(AB6:AF6,TRUE)&gt;0</f>
        <v>0</v>
      </c>
      <c r="AS6" s="443"/>
      <c r="AT6" s="443"/>
      <c r="AU6" s="443"/>
      <c r="AV6" s="443"/>
      <c r="AW6" s="443"/>
      <c r="AX6" s="443"/>
    </row>
    <row r="7" spans="1:50" ht="14.45" customHeight="1" x14ac:dyDescent="0.2">
      <c r="C7" s="365" t="s">
        <v>445</v>
      </c>
      <c r="D7" s="366">
        <f>ROUND((('Non-personnel'!R52-'Non-personnel'!S90)/IF('Personnel Yr 1'!J5=0,1,'Personnel Yr 1'!J5))/25000,0)*25000</f>
        <v>0</v>
      </c>
      <c r="E7" s="367">
        <f>IF('Personnel Yr 1'!J5&gt;1,(ROUND((('Non-personnel'!R52-'Non-personnel'!S90)/'Personnel Yr 1'!J5)/25000,0)*25000),0)</f>
        <v>0</v>
      </c>
      <c r="F7" s="367">
        <f>IF('Personnel Yr 1'!J5&gt;2,(ROUND((('Non-personnel'!R52-'Non-personnel'!S90)/'Personnel Yr 1'!J5)/25000,0)*25000),0)</f>
        <v>0</v>
      </c>
      <c r="G7" s="367">
        <f>IF('Personnel Yr 1'!J5&gt;3,(ROUND((('Non-personnel'!R52-'Non-personnel'!S90)/'Personnel Yr 1'!J5)/25000,0)*25000),0)</f>
        <v>0</v>
      </c>
      <c r="H7" s="367">
        <f>IF('Personnel Yr 1'!J5&gt;4,(ROUND((('Non-personnel'!R52-'Non-personnel'!S90)/'Personnel Yr 1'!J5)/25000,0)*25000),0)</f>
        <v>0</v>
      </c>
      <c r="I7" s="368">
        <f>SUM(D7:H7)</f>
        <v>0</v>
      </c>
      <c r="J7" s="356"/>
      <c r="K7" s="847"/>
      <c r="L7" s="847"/>
      <c r="M7" s="847"/>
      <c r="N7" s="847"/>
      <c r="O7" s="847"/>
      <c r="P7" s="847"/>
      <c r="Q7" s="847"/>
      <c r="R7" s="847"/>
      <c r="S7" s="442"/>
      <c r="T7" s="442"/>
      <c r="W7" s="362"/>
      <c r="X7" s="362"/>
      <c r="Y7" s="362"/>
      <c r="Z7" s="362"/>
      <c r="AA7" s="362"/>
      <c r="AB7" s="350" t="b">
        <f>IF(OR('Personnel Yr 1'!$N$5&lt;&gt;"Federal - NIH",OR(AND(ISBLANK('Personnel Yr 1'!I10),ISBLANK('Personnel Yr 1'!J10),ISBLANK('Personnel Yr 1'!K10)),AND('Personnel Yr 1'!I10="",'Personnel Yr 1'!J10="",'Personnel Yr 1'!K10=""))),FALSE,IF('Personnel Yr 1'!I10&gt;0,'Personnel Yr 1'!H10&gt;NIHSalaryCap,'Personnel Yr 1'!H10&gt;(NIHSalaryCap*8.5)/12))</f>
        <v>0</v>
      </c>
      <c r="AC7" s="350" t="b">
        <f>IF('Personnel Yr 1'!$J$5&gt;1,IF(OR('Personnel Yr 1'!$N$5&lt;&gt;"Federal - NIH",OR(AND(ISBLANK('Personnel Yr 2'!I10),ISBLANK('Personnel Yr 2'!J10),ISBLANK('Personnel Yr 2'!K10)),AND('Personnel Yr 2'!I10="",'Personnel Yr 2'!J10="",'Personnel Yr 2'!K10=""))),FALSE,IF('Personnel Yr 2'!I10&gt;0,'Personnel Yr 2'!H10&gt;NIHSalaryCap,'Personnel Yr 2'!H10&gt;(NIHSalaryCap*8.5)/12)),FALSE)</f>
        <v>0</v>
      </c>
      <c r="AD7" s="350" t="b">
        <f>'Personnel Yr 3'!Y10</f>
        <v>0</v>
      </c>
      <c r="AE7" s="350" t="b">
        <f>'Personnel Yr 4'!Y10</f>
        <v>0</v>
      </c>
      <c r="AF7" s="350" t="b">
        <f>'Personnel Yr 5'!Y10</f>
        <v>0</v>
      </c>
      <c r="AG7" s="350" t="b">
        <f t="shared" si="0"/>
        <v>0</v>
      </c>
      <c r="AS7" s="443"/>
      <c r="AT7" s="443"/>
      <c r="AU7" s="443"/>
      <c r="AV7" s="443"/>
      <c r="AW7" s="443"/>
      <c r="AX7" s="443"/>
    </row>
    <row r="8" spans="1:50" ht="14.45" customHeight="1" x14ac:dyDescent="0.2">
      <c r="C8" s="365" t="s">
        <v>444</v>
      </c>
      <c r="D8" s="366">
        <f>'Non-personnel'!I90</f>
        <v>0</v>
      </c>
      <c r="E8" s="367">
        <f>'Non-personnel'!K90</f>
        <v>0</v>
      </c>
      <c r="F8" s="367">
        <f>'Non-personnel'!M90</f>
        <v>0</v>
      </c>
      <c r="G8" s="367">
        <f>'Non-personnel'!O90</f>
        <v>0</v>
      </c>
      <c r="H8" s="367">
        <f>'Non-personnel'!Q90</f>
        <v>0</v>
      </c>
      <c r="I8" s="368">
        <f>SUM(D8:H8)</f>
        <v>0</v>
      </c>
      <c r="K8" s="847"/>
      <c r="L8" s="847"/>
      <c r="M8" s="847"/>
      <c r="N8" s="847"/>
      <c r="O8" s="847"/>
      <c r="P8" s="847"/>
      <c r="Q8" s="847"/>
      <c r="R8" s="847"/>
      <c r="S8" s="442"/>
      <c r="T8" s="442"/>
      <c r="W8" s="362"/>
      <c r="X8" s="362"/>
      <c r="Y8" s="362"/>
      <c r="Z8" s="362"/>
      <c r="AA8" s="362"/>
      <c r="AB8" s="350" t="b">
        <f>IF(OR('Personnel Yr 1'!$N$5&lt;&gt;"Federal - NIH",OR(AND(ISBLANK('Personnel Yr 1'!I11),ISBLANK('Personnel Yr 1'!J11),ISBLANK('Personnel Yr 1'!K11)),AND('Personnel Yr 1'!I11="",'Personnel Yr 1'!J11="",'Personnel Yr 1'!K11=""))),FALSE,IF('Personnel Yr 1'!I11&gt;0,'Personnel Yr 1'!H11&gt;NIHSalaryCap,'Personnel Yr 1'!H11&gt;(NIHSalaryCap*8.5)/12))</f>
        <v>0</v>
      </c>
      <c r="AC8" s="350" t="b">
        <f>IF('Personnel Yr 1'!$J$5&gt;1,IF(OR('Personnel Yr 1'!$N$5&lt;&gt;"Federal - NIH",OR(AND(ISBLANK('Personnel Yr 2'!I11),ISBLANK('Personnel Yr 2'!J11),ISBLANK('Personnel Yr 2'!K11)),AND('Personnel Yr 2'!I11="",'Personnel Yr 2'!J11="",'Personnel Yr 2'!K11=""))),FALSE,IF('Personnel Yr 2'!I11&gt;0,'Personnel Yr 2'!H11&gt;NIHSalaryCap,'Personnel Yr 2'!H11&gt;(NIHSalaryCap*8.5)/12)),FALSE)</f>
        <v>0</v>
      </c>
      <c r="AD8" s="350" t="b">
        <f>'Personnel Yr 3'!Y11</f>
        <v>0</v>
      </c>
      <c r="AE8" s="350" t="b">
        <f>'Personnel Yr 4'!Y11</f>
        <v>0</v>
      </c>
      <c r="AF8" s="350" t="b">
        <f>'Personnel Yr 5'!Y11</f>
        <v>0</v>
      </c>
      <c r="AG8" s="350" t="b">
        <f t="shared" si="0"/>
        <v>0</v>
      </c>
      <c r="AS8" s="443"/>
      <c r="AT8" s="443"/>
      <c r="AU8" s="443"/>
      <c r="AV8" s="443"/>
      <c r="AW8" s="443"/>
      <c r="AX8" s="443"/>
    </row>
    <row r="9" spans="1:50" ht="14.45" customHeight="1" x14ac:dyDescent="0.2">
      <c r="C9" s="365" t="s">
        <v>443</v>
      </c>
      <c r="D9" s="366">
        <f>SUM(D7:D8)</f>
        <v>0</v>
      </c>
      <c r="E9" s="367">
        <f>SUM(E7:E8)</f>
        <v>0</v>
      </c>
      <c r="F9" s="367">
        <f>SUM(F7:F8)</f>
        <v>0</v>
      </c>
      <c r="G9" s="367">
        <f>SUM(G7:G8)</f>
        <v>0</v>
      </c>
      <c r="H9" s="367">
        <f>SUM(H7:H8)</f>
        <v>0</v>
      </c>
      <c r="I9" s="368">
        <f>SUM(D9:H9)</f>
        <v>0</v>
      </c>
      <c r="S9" s="442"/>
      <c r="T9" s="442"/>
      <c r="W9" s="362"/>
      <c r="X9" s="362"/>
      <c r="Y9" s="362"/>
      <c r="Z9" s="362"/>
      <c r="AA9" s="362"/>
      <c r="AB9" s="350" t="b">
        <f>IF(OR('Personnel Yr 1'!$N$5&lt;&gt;"Federal - NIH",OR(AND(ISBLANK('Personnel Yr 1'!I12),ISBLANK('Personnel Yr 1'!J12),ISBLANK('Personnel Yr 1'!K12)),AND('Personnel Yr 1'!I12="",'Personnel Yr 1'!J12="",'Personnel Yr 1'!K12=""))),FALSE,IF('Personnel Yr 1'!I12&gt;0,'Personnel Yr 1'!H12&gt;NIHSalaryCap,'Personnel Yr 1'!H12&gt;(NIHSalaryCap*8.5)/12))</f>
        <v>0</v>
      </c>
      <c r="AC9" s="350" t="b">
        <f>IF('Personnel Yr 1'!$J$5&gt;1,IF(OR('Personnel Yr 1'!$N$5&lt;&gt;"Federal - NIH",OR(AND(ISBLANK('Personnel Yr 2'!I12),ISBLANK('Personnel Yr 2'!J12),ISBLANK('Personnel Yr 2'!K12)),AND('Personnel Yr 2'!I12="",'Personnel Yr 2'!J12="",'Personnel Yr 2'!K12=""))),FALSE,IF('Personnel Yr 2'!I12&gt;0,'Personnel Yr 2'!H12&gt;NIHSalaryCap,'Personnel Yr 2'!H12&gt;(NIHSalaryCap*8.5)/12)),FALSE)</f>
        <v>0</v>
      </c>
      <c r="AD9" s="350" t="b">
        <f>'Personnel Yr 3'!Y12</f>
        <v>0</v>
      </c>
      <c r="AE9" s="350" t="b">
        <f>'Personnel Yr 4'!Y12</f>
        <v>0</v>
      </c>
      <c r="AF9" s="350" t="b">
        <f>'Personnel Yr 5'!Y12</f>
        <v>0</v>
      </c>
      <c r="AG9" s="350" t="b">
        <f t="shared" si="0"/>
        <v>0</v>
      </c>
      <c r="AS9" s="443"/>
      <c r="AT9" s="443"/>
      <c r="AU9" s="443"/>
      <c r="AV9" s="443"/>
      <c r="AW9" s="443"/>
      <c r="AX9" s="443"/>
    </row>
    <row r="10" spans="1:50" ht="14.45" customHeight="1" x14ac:dyDescent="0.2">
      <c r="A10" s="352" t="s">
        <v>442</v>
      </c>
      <c r="C10" s="365"/>
      <c r="D10" s="366"/>
      <c r="E10" s="367"/>
      <c r="F10" s="367"/>
      <c r="G10" s="367"/>
      <c r="H10" s="367"/>
      <c r="I10" s="368"/>
      <c r="S10" s="442"/>
      <c r="T10" s="442"/>
      <c r="W10" s="362"/>
      <c r="X10" s="362"/>
      <c r="Y10" s="362"/>
      <c r="Z10" s="362"/>
      <c r="AA10" s="362"/>
      <c r="AB10" s="350" t="b">
        <f>IF(OR('Personnel Yr 1'!$N$5&lt;&gt;"Federal - NIH",OR(AND(ISBLANK('Personnel Yr 1'!I13),ISBLANK('Personnel Yr 1'!J13),ISBLANK('Personnel Yr 1'!K13)),AND('Personnel Yr 1'!I13="",'Personnel Yr 1'!J13="",'Personnel Yr 1'!K13=""))),FALSE,IF('Personnel Yr 1'!I13&gt;0,'Personnel Yr 1'!H13&gt;NIHSalaryCap,'Personnel Yr 1'!H13&gt;(NIHSalaryCap*8.5)/12))</f>
        <v>0</v>
      </c>
      <c r="AC10" s="350" t="b">
        <f>IF('Personnel Yr 1'!$J$5&gt;1,IF(OR('Personnel Yr 1'!$N$5&lt;&gt;"Federal - NIH",OR(AND(ISBLANK('Personnel Yr 2'!I13),ISBLANK('Personnel Yr 2'!J13),ISBLANK('Personnel Yr 2'!K13)),AND('Personnel Yr 2'!I13="",'Personnel Yr 2'!J13="",'Personnel Yr 2'!K13=""))),FALSE,IF('Personnel Yr 2'!I13&gt;0,'Personnel Yr 2'!H13&gt;NIHSalaryCap,'Personnel Yr 2'!H13&gt;(NIHSalaryCap*8.5)/12)),FALSE)</f>
        <v>0</v>
      </c>
      <c r="AD10" s="350" t="b">
        <f>'Personnel Yr 3'!Y13</f>
        <v>0</v>
      </c>
      <c r="AE10" s="350" t="b">
        <f>'Personnel Yr 4'!Y13</f>
        <v>0</v>
      </c>
      <c r="AF10" s="350" t="b">
        <f>'Personnel Yr 5'!Y13</f>
        <v>0</v>
      </c>
      <c r="AG10" s="350" t="b">
        <f t="shared" si="0"/>
        <v>0</v>
      </c>
      <c r="AS10" s="443"/>
      <c r="AT10" s="443"/>
      <c r="AU10" s="443"/>
      <c r="AV10" s="443"/>
      <c r="AW10" s="443"/>
      <c r="AX10" s="443"/>
    </row>
    <row r="11" spans="1:50" ht="14.45" customHeight="1" x14ac:dyDescent="0.2">
      <c r="C11" s="369" t="s">
        <v>441</v>
      </c>
      <c r="D11" s="370" t="str">
        <f>'Non-personnel'!B57</f>
        <v>MTDC-NonFed</v>
      </c>
      <c r="E11" s="371" t="str">
        <f>'Non-personnel'!B58</f>
        <v>MTDC-NonFed</v>
      </c>
      <c r="F11" s="371" t="str">
        <f>'Non-personnel'!B59</f>
        <v>MTDC-NonFed</v>
      </c>
      <c r="G11" s="371" t="str">
        <f>'Non-personnel'!B60</f>
        <v>MTDC-NonFed</v>
      </c>
      <c r="H11" s="371" t="str">
        <f>'Non-personnel'!B61</f>
        <v>MTDC-NonFed</v>
      </c>
      <c r="I11" s="368"/>
      <c r="S11" s="442"/>
      <c r="T11" s="442"/>
      <c r="W11" s="362"/>
      <c r="X11" s="362"/>
      <c r="Y11" s="362"/>
      <c r="Z11" s="362"/>
      <c r="AA11" s="362"/>
      <c r="AB11" s="350" t="b">
        <f>IF(OR('Personnel Yr 1'!$N$5&lt;&gt;"Federal - NIH",OR(AND(ISBLANK('Personnel Yr 1'!I14),ISBLANK('Personnel Yr 1'!J14),ISBLANK('Personnel Yr 1'!K14)),AND('Personnel Yr 1'!I14="",'Personnel Yr 1'!J14="",'Personnel Yr 1'!K14=""))),FALSE,IF('Personnel Yr 1'!I14&gt;0,'Personnel Yr 1'!H14&gt;NIHSalaryCap,'Personnel Yr 1'!H14&gt;(NIHSalaryCap*8.5)/12))</f>
        <v>0</v>
      </c>
      <c r="AC11" s="350" t="b">
        <f>IF('Personnel Yr 1'!$J$5&gt;1,IF(OR('Personnel Yr 1'!$N$5&lt;&gt;"Federal - NIH",OR(AND(ISBLANK('Personnel Yr 2'!I14),ISBLANK('Personnel Yr 2'!J14),ISBLANK('Personnel Yr 2'!K14)),AND('Personnel Yr 2'!I14="",'Personnel Yr 2'!J14="",'Personnel Yr 2'!K14=""))),FALSE,IF('Personnel Yr 2'!I14&gt;0,'Personnel Yr 2'!H14&gt;NIHSalaryCap,'Personnel Yr 2'!H14&gt;(NIHSalaryCap*8.5)/12)),FALSE)</f>
        <v>0</v>
      </c>
      <c r="AD11" s="350" t="b">
        <f>'Personnel Yr 3'!Y14</f>
        <v>0</v>
      </c>
      <c r="AE11" s="350" t="b">
        <f>'Personnel Yr 4'!Y14</f>
        <v>0</v>
      </c>
      <c r="AF11" s="350" t="b">
        <f>'Personnel Yr 5'!Y14</f>
        <v>0</v>
      </c>
      <c r="AG11" s="350" t="b">
        <f t="shared" si="0"/>
        <v>0</v>
      </c>
      <c r="AS11" s="443"/>
      <c r="AT11" s="443"/>
      <c r="AU11" s="443"/>
      <c r="AV11" s="443"/>
      <c r="AW11" s="443"/>
      <c r="AX11" s="443"/>
    </row>
    <row r="12" spans="1:50" ht="14.45" customHeight="1" x14ac:dyDescent="0.2">
      <c r="C12" s="359" t="s">
        <v>440</v>
      </c>
      <c r="D12" s="372">
        <f>IFERROR(LOOKUP('Non-personnel'!C57,IDCDesc,IDCRate),'Non-personnel'!C57)</f>
        <v>0</v>
      </c>
      <c r="E12" s="373">
        <f>IFERROR(LOOKUP('Non-personnel'!C58,IDCDesc,IDCRate),'Non-personnel'!C58)</f>
        <v>0</v>
      </c>
      <c r="F12" s="373">
        <f>IFERROR(LOOKUP('Non-personnel'!C59,IDCDesc,IDCRate),'Non-personnel'!C59)</f>
        <v>0</v>
      </c>
      <c r="G12" s="373">
        <f>IFERROR(LOOKUP('Non-personnel'!C60,IDCDesc,IDCRate),'Non-personnel'!C60)</f>
        <v>0</v>
      </c>
      <c r="H12" s="373">
        <f>IFERROR(LOOKUP('Non-personnel'!C61,IDCDesc,IDCRate),'Non-personnel'!C61)</f>
        <v>0</v>
      </c>
      <c r="I12" s="368"/>
      <c r="S12" s="442"/>
      <c r="T12" s="442"/>
      <c r="W12" s="362"/>
      <c r="X12" s="362"/>
      <c r="Y12" s="362"/>
      <c r="Z12" s="362"/>
      <c r="AA12" s="362"/>
      <c r="AB12" s="350" t="b">
        <f>IF(OR('Personnel Yr 1'!$N$5&lt;&gt;"Federal - NIH",OR(AND(ISBLANK('Personnel Yr 1'!I44),ISBLANK('Personnel Yr 1'!J44),ISBLANK('Personnel Yr 1'!K44)),AND('Personnel Yr 1'!I44="",'Personnel Yr 1'!J44="",'Personnel Yr 1'!K44=""))),FALSE,IF('Personnel Yr 1'!I44&gt;0,'Personnel Yr 1'!H44&gt;NIHSalaryCap,'Personnel Yr 1'!H44&gt;(NIHSalaryCap*8.5)/12))</f>
        <v>0</v>
      </c>
      <c r="AC12" s="350" t="b">
        <f>IF('Personnel Yr 1'!$J$5&gt;1,IF(OR('Personnel Yr 1'!$N$5&lt;&gt;"Federal - NIH",OR(AND(ISBLANK('Personnel Yr 2'!I44),ISBLANK('Personnel Yr 2'!J44),ISBLANK('Personnel Yr 2'!K44)),AND('Personnel Yr 2'!I44="",'Personnel Yr 2'!J44="",'Personnel Yr 2'!K44=""))),FALSE,IF('Personnel Yr 2'!I44&gt;0,'Personnel Yr 2'!H44&gt;NIHSalaryCap,'Personnel Yr 2'!H44&gt;(NIHSalaryCap*8.5)/12)),FALSE)</f>
        <v>0</v>
      </c>
      <c r="AD12" s="350" t="b">
        <f>'Personnel Yr 3'!Y44</f>
        <v>0</v>
      </c>
      <c r="AE12" s="350" t="b">
        <f>'Personnel Yr 4'!Y44</f>
        <v>0</v>
      </c>
      <c r="AF12" s="350" t="b">
        <f>'Personnel Yr 5'!Y44</f>
        <v>0</v>
      </c>
      <c r="AG12" s="350" t="b">
        <f t="shared" si="0"/>
        <v>0</v>
      </c>
      <c r="AS12" s="443"/>
      <c r="AT12" s="443"/>
      <c r="AU12" s="443"/>
      <c r="AV12" s="443"/>
      <c r="AW12" s="443"/>
      <c r="AX12" s="443"/>
    </row>
    <row r="13" spans="1:50" ht="14.45" customHeight="1" x14ac:dyDescent="0.2">
      <c r="C13" s="359" t="s">
        <v>439</v>
      </c>
      <c r="D13" s="370">
        <f>(SUM('Non-personnel'!F57:F61)-'Non-personnel'!R52+I9)/IF('Personnel Yr 1'!J5=0,1,'Personnel Yr 1'!J5)</f>
        <v>0</v>
      </c>
      <c r="E13" s="371">
        <f>IF('Personnel Yr 1'!J5&gt;1,(SUM('Non-personnel'!F57:F61)-'Non-personnel'!R52+I9)/'Personnel Yr 1'!J5,0)</f>
        <v>0</v>
      </c>
      <c r="F13" s="371">
        <f>IF('Personnel Yr 1'!J5&gt;2,(SUM('Non-personnel'!F57:F61)-'Non-personnel'!R52+I9)/'Personnel Yr 1'!J5,0)</f>
        <v>0</v>
      </c>
      <c r="G13" s="371">
        <f>IF('Personnel Yr 1'!J5&gt;3,(SUM('Non-personnel'!F57:F61)-'Non-personnel'!R52+I9)/'Personnel Yr 1'!J5,0)</f>
        <v>0</v>
      </c>
      <c r="H13" s="371">
        <f>IF('Personnel Yr 1'!J5&gt;4,(SUM('Non-personnel'!F57:F61)-'Non-personnel'!R52+I9)/'Personnel Yr 1'!J5,0)</f>
        <v>0</v>
      </c>
      <c r="I13" s="368">
        <f>SUM(D13:H13)</f>
        <v>0</v>
      </c>
      <c r="K13" s="356"/>
      <c r="M13" s="356"/>
      <c r="S13" s="442"/>
      <c r="T13" s="442"/>
      <c r="W13" s="362"/>
      <c r="X13" s="362"/>
      <c r="Y13" s="362"/>
      <c r="Z13" s="362"/>
      <c r="AA13" s="362"/>
      <c r="AB13" s="350" t="b">
        <f>IF(OR('Personnel Yr 1'!$N$5&lt;&gt;"Federal - NIH",OR(AND(ISBLANK('Personnel Yr 1'!I45),ISBLANK('Personnel Yr 1'!J45),ISBLANK('Personnel Yr 1'!K45)),AND('Personnel Yr 1'!I45="",'Personnel Yr 1'!J45="",'Personnel Yr 1'!K45=""))),FALSE,IF('Personnel Yr 1'!I45&gt;0,'Personnel Yr 1'!H45&gt;NIHSalaryCap,'Personnel Yr 1'!H45&gt;(NIHSalaryCap*8.5)/12))</f>
        <v>0</v>
      </c>
      <c r="AC13" s="350" t="b">
        <f>IF('Personnel Yr 1'!$J$5&gt;1,IF(OR('Personnel Yr 1'!$N$5&lt;&gt;"Federal - NIH",OR(AND(ISBLANK('Personnel Yr 2'!I45),ISBLANK('Personnel Yr 2'!J45),ISBLANK('Personnel Yr 2'!K45)),AND('Personnel Yr 2'!I45="",'Personnel Yr 2'!J45="",'Personnel Yr 2'!K45=""))),FALSE,IF('Personnel Yr 2'!I45&gt;0,'Personnel Yr 2'!H45&gt;NIHSalaryCap,'Personnel Yr 2'!H45&gt;(NIHSalaryCap*8.5)/12)),FALSE)</f>
        <v>0</v>
      </c>
      <c r="AD13" s="350" t="b">
        <f>'Personnel Yr 3'!Y45</f>
        <v>0</v>
      </c>
      <c r="AE13" s="350" t="b">
        <f>'Personnel Yr 4'!Y45</f>
        <v>0</v>
      </c>
      <c r="AF13" s="350" t="b">
        <f>'Personnel Yr 5'!Y45</f>
        <v>0</v>
      </c>
      <c r="AG13" s="350" t="b">
        <f t="shared" si="0"/>
        <v>0</v>
      </c>
      <c r="AS13" s="443"/>
      <c r="AT13" s="443"/>
      <c r="AU13" s="443"/>
      <c r="AV13" s="443"/>
      <c r="AW13" s="443"/>
      <c r="AX13" s="443"/>
    </row>
    <row r="14" spans="1:50" ht="14.45" customHeight="1" x14ac:dyDescent="0.2">
      <c r="B14" s="374"/>
      <c r="C14" s="357"/>
      <c r="D14" s="848" t="s">
        <v>438</v>
      </c>
      <c r="E14" s="849"/>
      <c r="F14" s="849"/>
      <c r="G14" s="849"/>
      <c r="H14" s="849"/>
      <c r="I14" s="850"/>
      <c r="M14" s="356"/>
      <c r="S14" s="442"/>
      <c r="T14" s="442"/>
      <c r="W14" s="362"/>
      <c r="X14" s="362"/>
      <c r="Y14" s="362"/>
      <c r="Z14" s="362"/>
      <c r="AA14" s="362"/>
      <c r="AB14" s="350" t="b">
        <f>IF(OR('Personnel Yr 1'!$N$5&lt;&gt;"Federal - NIH",OR(AND(ISBLANK('Personnel Yr 1'!I46),ISBLANK('Personnel Yr 1'!J46),ISBLANK('Personnel Yr 1'!K46)),AND('Personnel Yr 1'!I46="",'Personnel Yr 1'!J46="",'Personnel Yr 1'!K46=""))),FALSE,IF('Personnel Yr 1'!I46&gt;0,'Personnel Yr 1'!H46&gt;NIHSalaryCap,'Personnel Yr 1'!H46&gt;(NIHSalaryCap*8.5)/12))</f>
        <v>0</v>
      </c>
      <c r="AC14" s="350" t="b">
        <f>IF('Personnel Yr 1'!$J$5&gt;1,IF(OR('Personnel Yr 1'!$N$5&lt;&gt;"Federal - NIH",OR(AND(ISBLANK('Personnel Yr 2'!I46),ISBLANK('Personnel Yr 2'!J46),ISBLANK('Personnel Yr 2'!K46)),AND('Personnel Yr 2'!I46="",'Personnel Yr 2'!J46="",'Personnel Yr 2'!K46=""))),FALSE,IF('Personnel Yr 2'!I46&gt;0,'Personnel Yr 2'!H46&gt;NIHSalaryCap,'Personnel Yr 2'!H46&gt;(NIHSalaryCap*8.5)/12)),FALSE)</f>
        <v>0</v>
      </c>
      <c r="AD14" s="350" t="b">
        <f>'Personnel Yr 3'!Y46</f>
        <v>0</v>
      </c>
      <c r="AE14" s="350" t="b">
        <f>'Personnel Yr 4'!Y46</f>
        <v>0</v>
      </c>
      <c r="AF14" s="350" t="b">
        <f>'Personnel Yr 5'!Y46</f>
        <v>0</v>
      </c>
      <c r="AG14" s="350" t="b">
        <f t="shared" si="0"/>
        <v>0</v>
      </c>
      <c r="AS14" s="443"/>
      <c r="AT14" s="443"/>
      <c r="AU14" s="443"/>
      <c r="AV14" s="443"/>
      <c r="AW14" s="443"/>
      <c r="AX14" s="443"/>
    </row>
    <row r="15" spans="1:50" ht="14.45" customHeight="1" x14ac:dyDescent="0.2">
      <c r="B15" s="374"/>
      <c r="C15" s="375" t="s">
        <v>33</v>
      </c>
      <c r="D15" s="366">
        <f>D12*D13</f>
        <v>0</v>
      </c>
      <c r="E15" s="367">
        <f>E12*E13</f>
        <v>0</v>
      </c>
      <c r="F15" s="367">
        <f>F12*F13</f>
        <v>0</v>
      </c>
      <c r="G15" s="367">
        <f>G12*G13</f>
        <v>0</v>
      </c>
      <c r="H15" s="367">
        <f>H12*H13</f>
        <v>0</v>
      </c>
      <c r="I15" s="368">
        <f>SUM(D15:H15)</f>
        <v>0</v>
      </c>
      <c r="S15" s="442"/>
      <c r="T15" s="442"/>
      <c r="W15" s="362"/>
      <c r="X15" s="362"/>
      <c r="Y15" s="362"/>
      <c r="Z15" s="362"/>
      <c r="AA15" s="362"/>
      <c r="AB15" s="350" t="b">
        <f>IF(OR('Personnel Yr 1'!$N$5&lt;&gt;"Federal - NIH",OR(AND(ISBLANK('Personnel Yr 1'!I47),ISBLANK('Personnel Yr 1'!J47),ISBLANK('Personnel Yr 1'!K47)),AND('Personnel Yr 1'!I47="",'Personnel Yr 1'!J47="",'Personnel Yr 1'!K47=""))),FALSE,IF('Personnel Yr 1'!I47&gt;0,'Personnel Yr 1'!H47&gt;NIHSalaryCap,'Personnel Yr 1'!H47&gt;(NIHSalaryCap*8.5)/12))</f>
        <v>0</v>
      </c>
      <c r="AC15" s="350" t="b">
        <f>IF('Personnel Yr 1'!$J$5&gt;1,IF(OR('Personnel Yr 1'!$N$5&lt;&gt;"Federal - NIH",OR(AND(ISBLANK('Personnel Yr 2'!I47),ISBLANK('Personnel Yr 2'!J47),ISBLANK('Personnel Yr 2'!K47)),AND('Personnel Yr 2'!I47="",'Personnel Yr 2'!J47="",'Personnel Yr 2'!K47=""))),FALSE,IF('Personnel Yr 2'!I47&gt;0,'Personnel Yr 2'!H47&gt;NIHSalaryCap,'Personnel Yr 2'!H47&gt;(NIHSalaryCap*8.5)/12)),FALSE)</f>
        <v>0</v>
      </c>
      <c r="AD15" s="350" t="b">
        <f>'Personnel Yr 3'!Y47</f>
        <v>0</v>
      </c>
      <c r="AE15" s="350" t="b">
        <f>'Personnel Yr 4'!Y47</f>
        <v>0</v>
      </c>
      <c r="AF15" s="350" t="b">
        <f>'Personnel Yr 5'!Y47</f>
        <v>0</v>
      </c>
      <c r="AG15" s="350" t="b">
        <f t="shared" si="0"/>
        <v>0</v>
      </c>
      <c r="AS15" s="443"/>
      <c r="AT15" s="443"/>
      <c r="AU15" s="443"/>
      <c r="AV15" s="443"/>
      <c r="AW15" s="443"/>
      <c r="AX15" s="443"/>
    </row>
    <row r="16" spans="1:50" ht="14.45" customHeight="1" x14ac:dyDescent="0.2">
      <c r="C16" s="375"/>
      <c r="D16" s="848" t="s">
        <v>437</v>
      </c>
      <c r="E16" s="849"/>
      <c r="F16" s="849"/>
      <c r="G16" s="849"/>
      <c r="H16" s="849"/>
      <c r="I16" s="850"/>
      <c r="S16" s="442"/>
      <c r="T16" s="442"/>
      <c r="W16" s="362"/>
      <c r="X16" s="362"/>
      <c r="Y16" s="362"/>
      <c r="Z16" s="362"/>
      <c r="AA16" s="362"/>
      <c r="AB16" s="350" t="b">
        <f>IF(OR('Personnel Yr 1'!$N$5&lt;&gt;"Federal - NIH",OR(AND(ISBLANK('Personnel Yr 1'!I48),ISBLANK('Personnel Yr 1'!J48),ISBLANK('Personnel Yr 1'!K48)),AND('Personnel Yr 1'!I48="",'Personnel Yr 1'!J48="",'Personnel Yr 1'!K48=""))),FALSE,IF('Personnel Yr 1'!I48&gt;0,'Personnel Yr 1'!H48&gt;NIHSalaryCap,'Personnel Yr 1'!H48&gt;(NIHSalaryCap*8.5)/12))</f>
        <v>0</v>
      </c>
      <c r="AC16" s="350" t="b">
        <f>IF('Personnel Yr 1'!$J$5&gt;1,IF(OR('Personnel Yr 1'!$N$5&lt;&gt;"Federal - NIH",OR(AND(ISBLANK('Personnel Yr 2'!I48),ISBLANK('Personnel Yr 2'!J48),ISBLANK('Personnel Yr 2'!K48)),AND('Personnel Yr 2'!I48="",'Personnel Yr 2'!J48="",'Personnel Yr 2'!K48=""))),FALSE,IF('Personnel Yr 2'!I48&gt;0,'Personnel Yr 2'!H48&gt;NIHSalaryCap,'Personnel Yr 2'!H48&gt;(NIHSalaryCap*8.5)/12)),FALSE)</f>
        <v>0</v>
      </c>
      <c r="AD16" s="350" t="b">
        <f>'Personnel Yr 3'!Y48</f>
        <v>0</v>
      </c>
      <c r="AE16" s="350" t="b">
        <f>'Personnel Yr 4'!Y48</f>
        <v>0</v>
      </c>
      <c r="AF16" s="350" t="b">
        <f>'Personnel Yr 5'!Y48</f>
        <v>0</v>
      </c>
      <c r="AG16" s="350" t="b">
        <f t="shared" si="0"/>
        <v>0</v>
      </c>
      <c r="AS16" s="443"/>
      <c r="AT16" s="443"/>
      <c r="AU16" s="443"/>
      <c r="AV16" s="443"/>
      <c r="AW16" s="443"/>
      <c r="AX16" s="443"/>
    </row>
    <row r="17" spans="1:50" ht="14.45" customHeight="1" thickBot="1" x14ac:dyDescent="0.25">
      <c r="A17" s="352" t="s">
        <v>436</v>
      </c>
      <c r="C17" s="375"/>
      <c r="D17" s="376">
        <f>SUM(D9,D15)</f>
        <v>0</v>
      </c>
      <c r="E17" s="377">
        <f>SUM(E9,E15)</f>
        <v>0</v>
      </c>
      <c r="F17" s="377">
        <f>SUM(F9,F15)</f>
        <v>0</v>
      </c>
      <c r="G17" s="377">
        <f>SUM(G9,G15)</f>
        <v>0</v>
      </c>
      <c r="H17" s="377">
        <f>SUM(H9,H15)</f>
        <v>0</v>
      </c>
      <c r="I17" s="378">
        <f>SUM(D17:H17)</f>
        <v>0</v>
      </c>
      <c r="S17" s="442"/>
      <c r="T17" s="442"/>
      <c r="W17" s="362"/>
      <c r="X17" s="362"/>
      <c r="Y17" s="362"/>
      <c r="Z17" s="362"/>
      <c r="AA17" s="362"/>
      <c r="AB17" s="350" t="b">
        <f>IF(OR('Personnel Yr 1'!$N$5&lt;&gt;"Federal - NIH",OR(AND(ISBLANK('Personnel Yr 1'!I49),ISBLANK('Personnel Yr 1'!J49),ISBLANK('Personnel Yr 1'!K49)),AND('Personnel Yr 1'!I49="",'Personnel Yr 1'!J49="",'Personnel Yr 1'!K49=""))),FALSE,IF('Personnel Yr 1'!I49&gt;0,'Personnel Yr 1'!H49&gt;NIHSalaryCap,'Personnel Yr 1'!H49&gt;(NIHSalaryCap*8.5)/12))</f>
        <v>0</v>
      </c>
      <c r="AC17" s="350" t="b">
        <f>IF('Personnel Yr 1'!$J$5&gt;1,IF(OR('Personnel Yr 1'!$N$5&lt;&gt;"Federal - NIH",OR(AND(ISBLANK('Personnel Yr 2'!I49),ISBLANK('Personnel Yr 2'!J49),ISBLANK('Personnel Yr 2'!K49)),AND('Personnel Yr 2'!I49="",'Personnel Yr 2'!J49="",'Personnel Yr 2'!K49=""))),FALSE,IF('Personnel Yr 2'!I49&gt;0,'Personnel Yr 2'!H49&gt;NIHSalaryCap,'Personnel Yr 2'!H49&gt;(NIHSalaryCap*8.5)/12)),FALSE)</f>
        <v>0</v>
      </c>
      <c r="AD17" s="350" t="b">
        <f>'Personnel Yr 3'!Y49</f>
        <v>0</v>
      </c>
      <c r="AE17" s="350" t="b">
        <f>'Personnel Yr 4'!Y49</f>
        <v>0</v>
      </c>
      <c r="AF17" s="350" t="b">
        <f>'Personnel Yr 5'!Y49</f>
        <v>0</v>
      </c>
      <c r="AG17" s="350" t="b">
        <f t="shared" si="0"/>
        <v>0</v>
      </c>
      <c r="AS17" s="443"/>
      <c r="AT17" s="443"/>
      <c r="AU17" s="443"/>
      <c r="AV17" s="443"/>
      <c r="AW17" s="443"/>
      <c r="AX17" s="443"/>
    </row>
    <row r="18" spans="1:50" ht="14.45" customHeight="1" thickBot="1" x14ac:dyDescent="0.25">
      <c r="D18" s="379"/>
      <c r="E18" s="380"/>
      <c r="F18" s="380"/>
      <c r="G18" s="379"/>
      <c r="H18" s="379"/>
      <c r="I18" s="379"/>
      <c r="S18" s="442"/>
      <c r="T18" s="442"/>
      <c r="W18" s="362"/>
      <c r="X18" s="362"/>
      <c r="Y18" s="362"/>
      <c r="Z18" s="362"/>
      <c r="AA18" s="362"/>
      <c r="AB18" s="350" t="b">
        <f>IF(OR('Personnel Yr 1'!$N$5&lt;&gt;"Federal - NIH",OR(AND(ISBLANK('Personnel Yr 1'!I50),ISBLANK('Personnel Yr 1'!J50),ISBLANK('Personnel Yr 1'!K50)),AND('Personnel Yr 1'!I50="",'Personnel Yr 1'!J50="",'Personnel Yr 1'!K50=""))),FALSE,IF('Personnel Yr 1'!I50&gt;0,'Personnel Yr 1'!H50&gt;NIHSalaryCap,'Personnel Yr 1'!H50&gt;(NIHSalaryCap*8.5)/12))</f>
        <v>0</v>
      </c>
      <c r="AC18" s="350" t="b">
        <f>IF('Personnel Yr 1'!$J$5&gt;1,IF(OR('Personnel Yr 1'!$N$5&lt;&gt;"Federal - NIH",OR(AND(ISBLANK('Personnel Yr 2'!I50),ISBLANK('Personnel Yr 2'!J50),ISBLANK('Personnel Yr 2'!K50)),AND('Personnel Yr 2'!I50="",'Personnel Yr 2'!J50="",'Personnel Yr 2'!K50=""))),FALSE,IF('Personnel Yr 2'!I50&gt;0,'Personnel Yr 2'!H50&gt;NIHSalaryCap,'Personnel Yr 2'!H50&gt;(NIHSalaryCap*8.5)/12)),FALSE)</f>
        <v>0</v>
      </c>
      <c r="AD18" s="350" t="b">
        <f>'Personnel Yr 3'!Y50</f>
        <v>0</v>
      </c>
      <c r="AE18" s="350" t="b">
        <f>'Personnel Yr 4'!Y50</f>
        <v>0</v>
      </c>
      <c r="AF18" s="350" t="b">
        <f>'Personnel Yr 5'!Y50</f>
        <v>0</v>
      </c>
      <c r="AG18" s="350" t="b">
        <f t="shared" si="0"/>
        <v>0</v>
      </c>
      <c r="AS18" s="443"/>
      <c r="AT18" s="443"/>
      <c r="AU18" s="443"/>
      <c r="AV18" s="443"/>
      <c r="AW18" s="443"/>
      <c r="AX18" s="443"/>
    </row>
    <row r="19" spans="1:50" ht="14.45" customHeight="1" thickBot="1" x14ac:dyDescent="0.25">
      <c r="C19" s="359" t="s">
        <v>435</v>
      </c>
      <c r="D19" s="381">
        <f>ROUNDUP(SUM('Non-personnel'!H90,'Non-personnel'!I90)/1000,0) * 1000</f>
        <v>0</v>
      </c>
      <c r="E19" s="382">
        <f>ROUNDUP(SUM('Non-personnel'!J90,'Non-personnel'!K90)/1000,0)*1000</f>
        <v>0</v>
      </c>
      <c r="F19" s="382">
        <f>ROUNDUP(SUM('Non-personnel'!L90,'Non-personnel'!M90)/1000,0)*1000</f>
        <v>0</v>
      </c>
      <c r="G19" s="382">
        <f>ROUNDUP(SUM('Non-personnel'!N90,'Non-personnel'!O90)/1000,0)*1000</f>
        <v>0</v>
      </c>
      <c r="H19" s="382">
        <f>ROUNDUP(SUM('Non-personnel'!P90,'Non-personnel'!Q90)/1000,0)*1000</f>
        <v>0</v>
      </c>
      <c r="I19" s="383">
        <f>SUM(D19:H19)</f>
        <v>0</v>
      </c>
      <c r="S19" s="442"/>
      <c r="T19" s="442"/>
      <c r="W19" s="362"/>
      <c r="X19" s="362"/>
      <c r="Y19" s="362"/>
      <c r="Z19" s="362"/>
      <c r="AA19" s="362"/>
      <c r="AB19" s="350" t="b">
        <f>IF(OR('Personnel Yr 1'!$N$5&lt;&gt;"Federal - NIH",OR(AND(ISBLANK('Personnel Yr 1'!I51),ISBLANK('Personnel Yr 1'!J51),ISBLANK('Personnel Yr 1'!K51)),AND('Personnel Yr 1'!I51="",'Personnel Yr 1'!J51="",'Personnel Yr 1'!K51=""))),FALSE,IF('Personnel Yr 1'!I51&gt;0,'Personnel Yr 1'!H51&gt;NIHSalaryCap,'Personnel Yr 1'!H51&gt;(NIHSalaryCap*8.5)/12))</f>
        <v>0</v>
      </c>
      <c r="AC19" s="350" t="b">
        <f>IF('Personnel Yr 1'!$J$5&gt;1,IF(OR('Personnel Yr 1'!$N$5&lt;&gt;"Federal - NIH",OR(AND(ISBLANK('Personnel Yr 2'!I51),ISBLANK('Personnel Yr 2'!J51),ISBLANK('Personnel Yr 2'!K51)),AND('Personnel Yr 2'!I51="",'Personnel Yr 2'!J51="",'Personnel Yr 2'!K51=""))),FALSE,IF('Personnel Yr 2'!I51&gt;0,'Personnel Yr 2'!H51&gt;NIHSalaryCap,'Personnel Yr 2'!H51&gt;(NIHSalaryCap*8.5)/12)),FALSE)</f>
        <v>0</v>
      </c>
      <c r="AD19" s="350" t="b">
        <f>'Personnel Yr 3'!Y51</f>
        <v>0</v>
      </c>
      <c r="AE19" s="350" t="b">
        <f>'Personnel Yr 4'!Y51</f>
        <v>0</v>
      </c>
      <c r="AF19" s="350" t="b">
        <f>'Personnel Yr 5'!Y51</f>
        <v>0</v>
      </c>
      <c r="AG19" s="350" t="b">
        <f t="shared" si="0"/>
        <v>0</v>
      </c>
      <c r="AS19" s="443"/>
      <c r="AT19" s="443"/>
      <c r="AU19" s="443"/>
      <c r="AV19" s="443"/>
      <c r="AW19" s="443"/>
      <c r="AX19" s="443"/>
    </row>
    <row r="20" spans="1:50" x14ac:dyDescent="0.2">
      <c r="S20" s="442"/>
      <c r="T20" s="442"/>
      <c r="W20" s="362"/>
      <c r="X20" s="362"/>
      <c r="Y20" s="362"/>
      <c r="Z20" s="362"/>
      <c r="AA20" s="362"/>
      <c r="AB20" s="350" t="b">
        <f>IF(OR('Personnel Yr 1'!$N$5&lt;&gt;"Federal - NIH",OR(AND(ISBLANK('Personnel Yr 1'!I52),ISBLANK('Personnel Yr 1'!J52),ISBLANK('Personnel Yr 1'!K52)),AND('Personnel Yr 1'!I52="",'Personnel Yr 1'!J52="",'Personnel Yr 1'!K52=""))),FALSE,IF('Personnel Yr 1'!I52&gt;0,'Personnel Yr 1'!H52&gt;NIHSalaryCap,'Personnel Yr 1'!H52&gt;(NIHSalaryCap*8.5)/12))</f>
        <v>0</v>
      </c>
      <c r="AC20" s="350" t="b">
        <f>IF('Personnel Yr 1'!$J$5&gt;1,IF(OR('Personnel Yr 1'!$N$5&lt;&gt;"Federal - NIH",OR(AND(ISBLANK('Personnel Yr 2'!I52),ISBLANK('Personnel Yr 2'!J52),ISBLANK('Personnel Yr 2'!K52)),AND('Personnel Yr 2'!I52="",'Personnel Yr 2'!J52="",'Personnel Yr 2'!K52=""))),FALSE,IF('Personnel Yr 2'!I52&gt;0,'Personnel Yr 2'!H52&gt;NIHSalaryCap,'Personnel Yr 2'!H52&gt;(NIHSalaryCap*8.5)/12)),FALSE)</f>
        <v>0</v>
      </c>
      <c r="AD20" s="350" t="b">
        <f>'Personnel Yr 3'!Y52</f>
        <v>0</v>
      </c>
      <c r="AE20" s="350" t="b">
        <f>'Personnel Yr 4'!Y52</f>
        <v>0</v>
      </c>
      <c r="AF20" s="350" t="b">
        <f>'Personnel Yr 5'!Y52</f>
        <v>0</v>
      </c>
      <c r="AG20" s="350" t="b">
        <f t="shared" si="0"/>
        <v>0</v>
      </c>
      <c r="AS20" s="443"/>
      <c r="AT20" s="443"/>
      <c r="AU20" s="443"/>
      <c r="AV20" s="443"/>
      <c r="AW20" s="443"/>
      <c r="AX20" s="443"/>
    </row>
    <row r="21" spans="1:50" x14ac:dyDescent="0.2">
      <c r="A21" s="384" t="s">
        <v>434</v>
      </c>
      <c r="B21" s="385"/>
      <c r="C21" s="385"/>
      <c r="D21" s="385"/>
      <c r="E21" s="385"/>
      <c r="F21" s="385"/>
      <c r="G21" s="385"/>
      <c r="H21" s="385"/>
      <c r="I21" s="385"/>
      <c r="S21" s="442"/>
      <c r="T21" s="442"/>
      <c r="W21" s="362"/>
      <c r="X21" s="362"/>
      <c r="Y21" s="362"/>
      <c r="Z21" s="362"/>
      <c r="AA21" s="362"/>
      <c r="AB21" s="350" t="b">
        <f>IF(OR('Personnel Yr 1'!$N$5&lt;&gt;"Federal - NIH",OR(AND(ISBLANK('Personnel Yr 1'!I53),ISBLANK('Personnel Yr 1'!J53),ISBLANK('Personnel Yr 1'!K53)),AND('Personnel Yr 1'!I53="",'Personnel Yr 1'!J53="",'Personnel Yr 1'!K53=""))),FALSE,IF('Personnel Yr 1'!I53&gt;0,'Personnel Yr 1'!H53&gt;NIHSalaryCap,'Personnel Yr 1'!H53&gt;(NIHSalaryCap*8.5)/12))</f>
        <v>0</v>
      </c>
      <c r="AC21" s="350" t="b">
        <f>IF('Personnel Yr 1'!$J$5&gt;1,IF(OR('Personnel Yr 1'!$N$5&lt;&gt;"Federal - NIH",OR(AND(ISBLANK('Personnel Yr 2'!I53),ISBLANK('Personnel Yr 2'!J53),ISBLANK('Personnel Yr 2'!K53)),AND('Personnel Yr 2'!I53="",'Personnel Yr 2'!J53="",'Personnel Yr 2'!K53=""))),FALSE,IF('Personnel Yr 2'!I53&gt;0,'Personnel Yr 2'!H53&gt;NIHSalaryCap,'Personnel Yr 2'!H53&gt;(NIHSalaryCap*8.5)/12)),FALSE)</f>
        <v>0</v>
      </c>
      <c r="AD21" s="350" t="b">
        <f>'Personnel Yr 3'!Y53</f>
        <v>0</v>
      </c>
      <c r="AE21" s="350" t="b">
        <f>'Personnel Yr 4'!Y53</f>
        <v>0</v>
      </c>
      <c r="AF21" s="350" t="b">
        <f>'Personnel Yr 5'!Y53</f>
        <v>0</v>
      </c>
      <c r="AG21" s="350" t="b">
        <f t="shared" si="0"/>
        <v>0</v>
      </c>
      <c r="AS21" s="443"/>
      <c r="AT21" s="443"/>
      <c r="AU21" s="443"/>
      <c r="AV21" s="443"/>
      <c r="AW21" s="443"/>
      <c r="AX21" s="443"/>
    </row>
    <row r="22" spans="1:50" x14ac:dyDescent="0.2">
      <c r="A22" s="425" t="s">
        <v>473</v>
      </c>
      <c r="B22" s="386"/>
      <c r="C22" s="386"/>
      <c r="D22" s="386"/>
      <c r="E22" s="386"/>
      <c r="F22" s="386"/>
      <c r="G22" s="386"/>
      <c r="H22" s="386"/>
      <c r="I22" s="387"/>
      <c r="S22" s="442"/>
      <c r="T22" s="442"/>
      <c r="W22" s="362"/>
      <c r="X22" s="362"/>
      <c r="Y22" s="362"/>
      <c r="Z22" s="362"/>
      <c r="AA22" s="362"/>
      <c r="AB22" s="350" t="b">
        <f>IF(OR('Personnel Yr 1'!$N$5&lt;&gt;"Federal - NIH",OR(AND(ISBLANK('Personnel Yr 1'!I54),ISBLANK('Personnel Yr 1'!J54),ISBLANK('Personnel Yr 1'!K54)),AND('Personnel Yr 1'!I54="",'Personnel Yr 1'!J54="",'Personnel Yr 1'!K54=""))),FALSE,IF('Personnel Yr 1'!I54&gt;0,'Personnel Yr 1'!H54&gt;NIHSalaryCap,'Personnel Yr 1'!H54&gt;(NIHSalaryCap*8.5)/12))</f>
        <v>0</v>
      </c>
      <c r="AC22" s="350" t="b">
        <f>IF('Personnel Yr 1'!$J$5&gt;1,IF(OR('Personnel Yr 1'!$N$5&lt;&gt;"Federal - NIH",OR(AND(ISBLANK('Personnel Yr 2'!I54),ISBLANK('Personnel Yr 2'!J54),ISBLANK('Personnel Yr 2'!K54)),AND('Personnel Yr 2'!I54="",'Personnel Yr 2'!J54="",'Personnel Yr 2'!K54=""))),FALSE,IF('Personnel Yr 2'!I54&gt;0,'Personnel Yr 2'!H54&gt;NIHSalaryCap,'Personnel Yr 2'!H54&gt;(NIHSalaryCap*8.5)/12)),FALSE)</f>
        <v>0</v>
      </c>
      <c r="AD22" s="350" t="b">
        <f>'Personnel Yr 3'!Y54</f>
        <v>0</v>
      </c>
      <c r="AE22" s="350" t="b">
        <f>'Personnel Yr 4'!Y54</f>
        <v>0</v>
      </c>
      <c r="AF22" s="350" t="b">
        <f>'Personnel Yr 5'!Y54</f>
        <v>0</v>
      </c>
      <c r="AG22" s="350" t="b">
        <f t="shared" si="0"/>
        <v>0</v>
      </c>
      <c r="AS22" s="443"/>
      <c r="AT22" s="443"/>
      <c r="AU22" s="443"/>
      <c r="AV22" s="443"/>
      <c r="AW22" s="443"/>
      <c r="AX22" s="443"/>
    </row>
    <row r="23" spans="1:50" x14ac:dyDescent="0.2">
      <c r="A23" s="426" t="s">
        <v>472</v>
      </c>
      <c r="B23" s="389"/>
      <c r="C23" s="389"/>
      <c r="D23" s="389"/>
      <c r="E23" s="389"/>
      <c r="F23" s="389"/>
      <c r="G23" s="389"/>
      <c r="H23" s="389"/>
      <c r="I23" s="390"/>
      <c r="S23" s="442"/>
      <c r="T23" s="442"/>
      <c r="W23" s="362"/>
      <c r="X23" s="362"/>
      <c r="Y23" s="362"/>
      <c r="Z23" s="362"/>
      <c r="AA23" s="362"/>
      <c r="AB23" s="350" t="b">
        <f>IF(OR('Personnel Yr 1'!$N$5&lt;&gt;"Federal - NIH",OR(AND(ISBLANK('Personnel Yr 1'!I55),ISBLANK('Personnel Yr 1'!J55),ISBLANK('Personnel Yr 1'!K55)),AND('Personnel Yr 1'!I55="",'Personnel Yr 1'!J55="",'Personnel Yr 1'!K55=""))),FALSE,IF('Personnel Yr 1'!I55&gt;0,'Personnel Yr 1'!H55&gt;NIHSalaryCap,'Personnel Yr 1'!H55&gt;(NIHSalaryCap*8.5)/12))</f>
        <v>0</v>
      </c>
      <c r="AC23" s="350" t="b">
        <f>IF('Personnel Yr 1'!$J$5&gt;1,IF(OR('Personnel Yr 1'!$N$5&lt;&gt;"Federal - NIH",OR(AND(ISBLANK('Personnel Yr 2'!I55),ISBLANK('Personnel Yr 2'!J55),ISBLANK('Personnel Yr 2'!K55)),AND('Personnel Yr 2'!I55="",'Personnel Yr 2'!J55="",'Personnel Yr 2'!K55=""))),FALSE,IF('Personnel Yr 2'!I55&gt;0,'Personnel Yr 2'!H55&gt;NIHSalaryCap,'Personnel Yr 2'!H55&gt;(NIHSalaryCap*8.5)/12)),FALSE)</f>
        <v>0</v>
      </c>
      <c r="AD23" s="350" t="b">
        <f>'Personnel Yr 3'!Y55</f>
        <v>0</v>
      </c>
      <c r="AE23" s="350" t="b">
        <f>'Personnel Yr 4'!Y55</f>
        <v>0</v>
      </c>
      <c r="AF23" s="350" t="b">
        <f>'Personnel Yr 5'!Y55</f>
        <v>0</v>
      </c>
      <c r="AG23" s="350" t="b">
        <f t="shared" si="0"/>
        <v>0</v>
      </c>
      <c r="AS23" s="443"/>
      <c r="AT23" s="443"/>
      <c r="AU23" s="443"/>
      <c r="AV23" s="443"/>
      <c r="AW23" s="443"/>
      <c r="AX23" s="443"/>
    </row>
    <row r="24" spans="1:50" x14ac:dyDescent="0.2">
      <c r="A24" s="388" t="s">
        <v>477</v>
      </c>
      <c r="B24" s="389"/>
      <c r="C24" s="389"/>
      <c r="D24" s="389"/>
      <c r="E24" s="389"/>
      <c r="F24" s="389"/>
      <c r="G24" s="389"/>
      <c r="H24" s="389"/>
      <c r="I24" s="390"/>
      <c r="S24" s="442"/>
      <c r="T24" s="442"/>
      <c r="W24" s="362"/>
      <c r="X24" s="362"/>
      <c r="Y24" s="362"/>
      <c r="Z24" s="362"/>
      <c r="AA24" s="362"/>
      <c r="AB24" s="350" t="b">
        <f>IF(OR('Personnel Yr 1'!$N$5&lt;&gt;"Federal - NIH",OR(AND(ISBLANK('Personnel Yr 1'!I56),ISBLANK('Personnel Yr 1'!J56),ISBLANK('Personnel Yr 1'!K56)),AND('Personnel Yr 1'!I56="",'Personnel Yr 1'!J56="",'Personnel Yr 1'!K56=""))),FALSE,IF('Personnel Yr 1'!I56&gt;0,'Personnel Yr 1'!H56&gt;NIHSalaryCap,'Personnel Yr 1'!H56&gt;(NIHSalaryCap*8.5)/12))</f>
        <v>0</v>
      </c>
      <c r="AC24" s="350" t="b">
        <f>IF('Personnel Yr 1'!$J$5&gt;1,IF(OR('Personnel Yr 1'!$N$5&lt;&gt;"Federal - NIH",OR(AND(ISBLANK('Personnel Yr 2'!I56),ISBLANK('Personnel Yr 2'!J56),ISBLANK('Personnel Yr 2'!K56)),AND('Personnel Yr 2'!I56="",'Personnel Yr 2'!J56="",'Personnel Yr 2'!K56=""))),FALSE,IF('Personnel Yr 2'!I56&gt;0,'Personnel Yr 2'!H56&gt;NIHSalaryCap,'Personnel Yr 2'!H56&gt;(NIHSalaryCap*8.5)/12)),FALSE)</f>
        <v>0</v>
      </c>
      <c r="AD24" s="350" t="b">
        <f>'Personnel Yr 3'!Y56</f>
        <v>0</v>
      </c>
      <c r="AE24" s="350" t="b">
        <f>'Personnel Yr 4'!Y56</f>
        <v>0</v>
      </c>
      <c r="AF24" s="350" t="b">
        <f>'Personnel Yr 5'!Y56</f>
        <v>0</v>
      </c>
      <c r="AG24" s="350" t="b">
        <f t="shared" si="0"/>
        <v>0</v>
      </c>
      <c r="AS24" s="443"/>
      <c r="AT24" s="443"/>
      <c r="AU24" s="443"/>
      <c r="AV24" s="443"/>
      <c r="AW24" s="443"/>
      <c r="AX24" s="443"/>
    </row>
    <row r="25" spans="1:50" x14ac:dyDescent="0.2">
      <c r="A25" s="426" t="s">
        <v>476</v>
      </c>
      <c r="B25" s="389"/>
      <c r="C25" s="389"/>
      <c r="D25" s="389"/>
      <c r="E25" s="389"/>
      <c r="F25" s="389"/>
      <c r="G25" s="389"/>
      <c r="H25" s="389"/>
      <c r="I25" s="390"/>
      <c r="S25" s="442"/>
      <c r="T25" s="442"/>
      <c r="W25" s="362"/>
      <c r="X25" s="362"/>
      <c r="Y25" s="362"/>
      <c r="Z25" s="362"/>
      <c r="AA25" s="362"/>
      <c r="AB25" s="350" t="b">
        <f>IF(OR('Personnel Yr 1'!$N$5&lt;&gt;"Federal - NIH",OR(AND(ISBLANK('Personnel Yr 1'!I57),ISBLANK('Personnel Yr 1'!J57),ISBLANK('Personnel Yr 1'!K57)),AND('Personnel Yr 1'!I57="",'Personnel Yr 1'!J57="",'Personnel Yr 1'!K57=""))),FALSE,IF('Personnel Yr 1'!I57&gt;0,'Personnel Yr 1'!H57&gt;NIHSalaryCap,'Personnel Yr 1'!H57&gt;(NIHSalaryCap*8.5)/12))</f>
        <v>0</v>
      </c>
      <c r="AC25" s="350" t="b">
        <f>IF('Personnel Yr 1'!$J$5&gt;1,IF(OR('Personnel Yr 1'!$N$5&lt;&gt;"Federal - NIH",OR(AND(ISBLANK('Personnel Yr 2'!I57),ISBLANK('Personnel Yr 2'!J57),ISBLANK('Personnel Yr 2'!K57)),AND('Personnel Yr 2'!I57="",'Personnel Yr 2'!J57="",'Personnel Yr 2'!K57=""))),FALSE,IF('Personnel Yr 2'!I57&gt;0,'Personnel Yr 2'!H57&gt;NIHSalaryCap,'Personnel Yr 2'!H57&gt;(NIHSalaryCap*8.5)/12)),FALSE)</f>
        <v>0</v>
      </c>
      <c r="AD25" s="350" t="b">
        <f>'Personnel Yr 3'!Y57</f>
        <v>0</v>
      </c>
      <c r="AE25" s="350" t="b">
        <f>'Personnel Yr 4'!Y57</f>
        <v>0</v>
      </c>
      <c r="AF25" s="350" t="b">
        <f>'Personnel Yr 5'!Y57</f>
        <v>0</v>
      </c>
      <c r="AG25" s="350" t="b">
        <f t="shared" si="0"/>
        <v>0</v>
      </c>
      <c r="AS25" s="443"/>
      <c r="AT25" s="443"/>
      <c r="AU25" s="443"/>
      <c r="AV25" s="443"/>
      <c r="AW25" s="443"/>
      <c r="AX25" s="443"/>
    </row>
    <row r="26" spans="1:50" x14ac:dyDescent="0.2">
      <c r="A26" s="428" t="s">
        <v>478</v>
      </c>
      <c r="B26" s="389"/>
      <c r="C26" s="389"/>
      <c r="D26" s="389"/>
      <c r="E26" s="389"/>
      <c r="F26" s="389"/>
      <c r="G26" s="389"/>
      <c r="H26" s="389"/>
      <c r="I26" s="390"/>
      <c r="S26" s="442"/>
      <c r="T26" s="442"/>
      <c r="W26" s="362"/>
      <c r="X26" s="362"/>
      <c r="Y26" s="362"/>
      <c r="Z26" s="362"/>
      <c r="AA26" s="362"/>
      <c r="AB26" s="350" t="b">
        <f>IF(OR('Personnel Yr 1'!$N$5&lt;&gt;"Federal - NIH",OR(AND(ISBLANK('Personnel Yr 1'!I58),ISBLANK('Personnel Yr 1'!J58),ISBLANK('Personnel Yr 1'!K58)),AND('Personnel Yr 1'!I58="",'Personnel Yr 1'!J58="",'Personnel Yr 1'!K58=""))),FALSE,IF('Personnel Yr 1'!I58&gt;0,'Personnel Yr 1'!H58&gt;NIHSalaryCap,'Personnel Yr 1'!H58&gt;(NIHSalaryCap*8.5)/12))</f>
        <v>0</v>
      </c>
      <c r="AC26" s="350" t="b">
        <f>IF('Personnel Yr 1'!$J$5&gt;1,IF(OR('Personnel Yr 1'!$N$5&lt;&gt;"Federal - NIH",OR(AND(ISBLANK('Personnel Yr 2'!I58),ISBLANK('Personnel Yr 2'!J58),ISBLANK('Personnel Yr 2'!K58)),AND('Personnel Yr 2'!I58="",'Personnel Yr 2'!J58="",'Personnel Yr 2'!K58=""))),FALSE,IF('Personnel Yr 2'!I58&gt;0,'Personnel Yr 2'!H58&gt;NIHSalaryCap,'Personnel Yr 2'!H58&gt;(NIHSalaryCap*8.5)/12)),FALSE)</f>
        <v>0</v>
      </c>
      <c r="AD26" s="350" t="b">
        <f>'Personnel Yr 3'!Y58</f>
        <v>0</v>
      </c>
      <c r="AE26" s="350" t="b">
        <f>'Personnel Yr 4'!Y58</f>
        <v>0</v>
      </c>
      <c r="AF26" s="350" t="b">
        <f>'Personnel Yr 5'!Y58</f>
        <v>0</v>
      </c>
      <c r="AG26" s="350" t="b">
        <f t="shared" si="0"/>
        <v>0</v>
      </c>
      <c r="AS26" s="443"/>
      <c r="AT26" s="443"/>
      <c r="AU26" s="443"/>
      <c r="AV26" s="443"/>
      <c r="AW26" s="443"/>
      <c r="AX26" s="443"/>
    </row>
    <row r="27" spans="1:50" x14ac:dyDescent="0.2">
      <c r="A27" s="426" t="s">
        <v>479</v>
      </c>
      <c r="B27" s="389"/>
      <c r="C27" s="389"/>
      <c r="D27" s="389"/>
      <c r="E27" s="389"/>
      <c r="F27" s="389"/>
      <c r="G27" s="389"/>
      <c r="H27" s="389"/>
      <c r="I27" s="390"/>
      <c r="S27" s="442"/>
      <c r="T27" s="442"/>
      <c r="W27" s="362"/>
      <c r="X27" s="362"/>
      <c r="Y27" s="362"/>
      <c r="Z27" s="362"/>
      <c r="AA27" s="362"/>
      <c r="AS27" s="443"/>
      <c r="AT27" s="443"/>
      <c r="AU27" s="443"/>
      <c r="AV27" s="443"/>
      <c r="AW27" s="443"/>
      <c r="AX27" s="443"/>
    </row>
    <row r="28" spans="1:50" x14ac:dyDescent="0.2">
      <c r="A28" s="426" t="s">
        <v>480</v>
      </c>
      <c r="B28" s="389"/>
      <c r="C28" s="389"/>
      <c r="D28" s="389"/>
      <c r="E28" s="389"/>
      <c r="F28" s="389"/>
      <c r="G28" s="389"/>
      <c r="H28" s="389"/>
      <c r="I28" s="390"/>
      <c r="S28" s="442"/>
      <c r="T28" s="442"/>
      <c r="AS28" s="443"/>
      <c r="AT28" s="443"/>
      <c r="AU28" s="443"/>
      <c r="AV28" s="443"/>
      <c r="AW28" s="443"/>
      <c r="AX28" s="443"/>
    </row>
    <row r="29" spans="1:50" x14ac:dyDescent="0.2">
      <c r="A29" s="426" t="s">
        <v>481</v>
      </c>
      <c r="B29" s="389"/>
      <c r="C29" s="389"/>
      <c r="D29" s="389"/>
      <c r="E29" s="389"/>
      <c r="F29" s="389"/>
      <c r="G29" s="389"/>
      <c r="H29" s="389"/>
      <c r="I29" s="390"/>
      <c r="K29" s="356"/>
      <c r="S29" s="442"/>
      <c r="T29" s="442"/>
      <c r="AS29" s="443"/>
      <c r="AT29" s="443"/>
      <c r="AU29" s="443"/>
      <c r="AV29" s="443"/>
      <c r="AW29" s="443"/>
      <c r="AX29" s="443"/>
    </row>
    <row r="30" spans="1:50" x14ac:dyDescent="0.2">
      <c r="A30" s="388" t="s">
        <v>482</v>
      </c>
      <c r="B30" s="389"/>
      <c r="C30" s="389"/>
      <c r="D30" s="389"/>
      <c r="E30" s="389"/>
      <c r="F30" s="389"/>
      <c r="G30" s="389"/>
      <c r="H30" s="389"/>
      <c r="I30" s="390"/>
      <c r="S30" s="442"/>
      <c r="T30" s="442"/>
      <c r="AS30" s="443"/>
      <c r="AT30" s="443"/>
      <c r="AU30" s="443"/>
      <c r="AV30" s="443"/>
      <c r="AW30" s="443"/>
      <c r="AX30" s="443"/>
    </row>
    <row r="31" spans="1:50" x14ac:dyDescent="0.2">
      <c r="A31" s="427" t="s">
        <v>474</v>
      </c>
      <c r="B31" s="389"/>
      <c r="C31" s="389"/>
      <c r="D31" s="389"/>
      <c r="E31" s="389"/>
      <c r="F31" s="389"/>
      <c r="G31" s="389"/>
      <c r="H31" s="389"/>
      <c r="I31" s="390"/>
      <c r="S31" s="442"/>
      <c r="T31" s="442"/>
      <c r="AS31" s="443"/>
      <c r="AT31" s="443"/>
      <c r="AU31" s="443"/>
      <c r="AV31" s="443"/>
      <c r="AW31" s="443"/>
      <c r="AX31" s="443"/>
    </row>
    <row r="32" spans="1:50" x14ac:dyDescent="0.2">
      <c r="A32" s="388" t="s">
        <v>483</v>
      </c>
      <c r="B32" s="389"/>
      <c r="C32" s="389"/>
      <c r="D32" s="389"/>
      <c r="E32" s="389"/>
      <c r="F32" s="389"/>
      <c r="G32" s="389"/>
      <c r="H32" s="389"/>
      <c r="I32" s="390"/>
      <c r="S32" s="442"/>
      <c r="T32" s="442"/>
      <c r="AS32" s="443"/>
      <c r="AT32" s="443"/>
      <c r="AU32" s="443"/>
      <c r="AV32" s="443"/>
      <c r="AW32" s="443"/>
      <c r="AX32" s="443"/>
    </row>
    <row r="33" spans="1:50" x14ac:dyDescent="0.2">
      <c r="A33" s="426" t="s">
        <v>485</v>
      </c>
      <c r="B33" s="389"/>
      <c r="C33" s="389"/>
      <c r="D33" s="389"/>
      <c r="E33" s="389"/>
      <c r="F33" s="389"/>
      <c r="G33" s="389"/>
      <c r="H33" s="389"/>
      <c r="I33" s="390"/>
      <c r="S33" s="442"/>
      <c r="T33" s="442"/>
      <c r="AS33" s="443"/>
      <c r="AT33" s="443"/>
      <c r="AU33" s="443"/>
      <c r="AV33" s="443"/>
      <c r="AW33" s="443"/>
      <c r="AX33" s="443"/>
    </row>
    <row r="34" spans="1:50" x14ac:dyDescent="0.2">
      <c r="A34" s="426" t="s">
        <v>475</v>
      </c>
      <c r="B34" s="389"/>
      <c r="C34" s="389"/>
      <c r="D34" s="389"/>
      <c r="E34" s="389"/>
      <c r="F34" s="389"/>
      <c r="G34" s="389"/>
      <c r="H34" s="389"/>
      <c r="I34" s="390"/>
      <c r="S34" s="442"/>
      <c r="T34" s="442"/>
      <c r="AS34" s="443"/>
      <c r="AT34" s="443"/>
      <c r="AU34" s="443"/>
      <c r="AV34" s="443"/>
      <c r="AW34" s="443"/>
      <c r="AX34" s="443"/>
    </row>
    <row r="35" spans="1:50" x14ac:dyDescent="0.2">
      <c r="A35" s="391" t="s">
        <v>484</v>
      </c>
      <c r="B35" s="392"/>
      <c r="C35" s="392"/>
      <c r="D35" s="392"/>
      <c r="E35" s="392"/>
      <c r="F35" s="392"/>
      <c r="G35" s="392"/>
      <c r="H35" s="392"/>
      <c r="I35" s="393"/>
      <c r="S35" s="442"/>
      <c r="T35" s="442"/>
      <c r="AS35" s="443"/>
      <c r="AT35" s="443"/>
      <c r="AU35" s="443"/>
      <c r="AV35" s="443"/>
      <c r="AW35" s="443"/>
      <c r="AX35" s="443"/>
    </row>
    <row r="36" spans="1:50" x14ac:dyDescent="0.2">
      <c r="S36" s="442"/>
      <c r="T36" s="442"/>
      <c r="AS36" s="443"/>
      <c r="AT36" s="443"/>
      <c r="AU36" s="443"/>
      <c r="AV36" s="443"/>
      <c r="AW36" s="443"/>
      <c r="AX36" s="443"/>
    </row>
    <row r="37" spans="1:50" x14ac:dyDescent="0.2">
      <c r="S37" s="442"/>
      <c r="T37" s="442"/>
      <c r="AS37" s="443"/>
      <c r="AT37" s="443"/>
      <c r="AU37" s="443"/>
      <c r="AV37" s="443"/>
      <c r="AW37" s="443"/>
      <c r="AX37" s="443"/>
    </row>
    <row r="38" spans="1:50" x14ac:dyDescent="0.2">
      <c r="S38" s="442"/>
      <c r="T38" s="442"/>
      <c r="AS38" s="443"/>
      <c r="AT38" s="443"/>
      <c r="AU38" s="443"/>
      <c r="AV38" s="443"/>
      <c r="AW38" s="443"/>
      <c r="AX38" s="443"/>
    </row>
    <row r="39" spans="1:50" x14ac:dyDescent="0.2">
      <c r="S39" s="442"/>
      <c r="T39" s="442"/>
      <c r="AS39" s="443"/>
      <c r="AT39" s="443"/>
      <c r="AU39" s="443"/>
      <c r="AV39" s="443"/>
      <c r="AW39" s="443"/>
      <c r="AX39" s="443"/>
    </row>
    <row r="40" spans="1:50" x14ac:dyDescent="0.2">
      <c r="S40" s="442"/>
      <c r="T40" s="442"/>
      <c r="AS40" s="443"/>
      <c r="AT40" s="443"/>
      <c r="AU40" s="443"/>
      <c r="AV40" s="443"/>
      <c r="AW40" s="443"/>
      <c r="AX40" s="443"/>
    </row>
  </sheetData>
  <sheetProtection algorithmName="SHA-512" hashValue="h+RMY4Si5NrLHeqUegiYYXc5wOXnGnNgmxyr1Sh9ytBeHDT00vIY4WZUgCF71azg82iFTZ4JLUend5e2HPNR8Q==" saltValue="OyDxO85FIJk6Dq9+pG5sqA==" spinCount="100000" sheet="1" objects="1" scenarios="1"/>
  <mergeCells count="9">
    <mergeCell ref="K4:R5"/>
    <mergeCell ref="K3:R3"/>
    <mergeCell ref="K6:R8"/>
    <mergeCell ref="D16:I16"/>
    <mergeCell ref="A1:I1"/>
    <mergeCell ref="A2:B2"/>
    <mergeCell ref="C2:D2"/>
    <mergeCell ref="D6:I6"/>
    <mergeCell ref="D14:I14"/>
  </mergeCells>
  <conditionalFormatting sqref="D7">
    <cfRule type="expression" dxfId="4" priority="5">
      <formula>$D$7&gt;250000</formula>
    </cfRule>
  </conditionalFormatting>
  <conditionalFormatting sqref="E7">
    <cfRule type="expression" dxfId="3" priority="4">
      <formula>$E$7&gt;250000</formula>
    </cfRule>
  </conditionalFormatting>
  <conditionalFormatting sqref="F7">
    <cfRule type="expression" dxfId="2" priority="3">
      <formula>$F$7&gt;250000</formula>
    </cfRule>
  </conditionalFormatting>
  <conditionalFormatting sqref="G7">
    <cfRule type="expression" dxfId="1" priority="2">
      <formula>$G$7&gt;250000</formula>
    </cfRule>
  </conditionalFormatting>
  <conditionalFormatting sqref="H7">
    <cfRule type="expression" dxfId="0" priority="1">
      <formula>$H$7&gt;250000</formula>
    </cfRule>
  </conditionalFormatting>
  <hyperlinks>
    <hyperlink ref="A31" r:id="rId1" display="http://grants.nih.gov/grants/funding/modular/modular_faq_pub.htm" xr:uid="{00000000-0004-0000-0900-000000000000}"/>
  </hyperlinks>
  <pageMargins left="0.25" right="0.25" top="0.5" bottom="0.5" header="0.3" footer="0.3"/>
  <pageSetup orientation="portrait" verticalDpi="3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5"/>
  <sheetViews>
    <sheetView zoomScaleNormal="100" workbookViewId="0">
      <selection sqref="A1:I1"/>
    </sheetView>
  </sheetViews>
  <sheetFormatPr defaultColWidth="8.85546875" defaultRowHeight="12.75" x14ac:dyDescent="0.2"/>
  <cols>
    <col min="1" max="1" width="7.7109375" style="285" customWidth="1"/>
    <col min="2" max="2" width="12.7109375" style="285" customWidth="1"/>
    <col min="3" max="3" width="15.5703125" style="285" customWidth="1"/>
    <col min="4" max="9" width="11" style="285" customWidth="1"/>
    <col min="10" max="16384" width="8.85546875" style="285"/>
  </cols>
  <sheetData>
    <row r="1" spans="1:10" ht="18" x14ac:dyDescent="0.2">
      <c r="A1" s="862" t="s">
        <v>448</v>
      </c>
      <c r="B1" s="862"/>
      <c r="C1" s="862"/>
      <c r="D1" s="862"/>
      <c r="E1" s="862"/>
      <c r="F1" s="862"/>
      <c r="G1" s="862"/>
      <c r="H1" s="862"/>
      <c r="I1" s="862"/>
    </row>
    <row r="2" spans="1:10" ht="14.45" customHeight="1" x14ac:dyDescent="0.2">
      <c r="A2" s="863" t="s">
        <v>126</v>
      </c>
      <c r="B2" s="863"/>
      <c r="C2" s="863" t="str">
        <f>CONCATENATE('Personnel Yr 1'!B7, IF(OR(ISBLANK('Personnel Yr 1'!B7),'Personnel Yr 1'!B7=""),""," "),'Personnel Yr 1'!C7, " ",'Personnel Yr 1'!D7,IF(OR(ISBLANK('Personnel Yr 1'!D7),'Personnel Yr 1'!D7=""),""," "),'Personnel Yr 1'!E7," ",'Personnel Yr 1'!F7)</f>
        <v xml:space="preserve">    </v>
      </c>
      <c r="D2" s="863"/>
      <c r="E2" s="309" t="s">
        <v>218</v>
      </c>
      <c r="F2" s="309">
        <f>'Personnel Yr 1'!N4</f>
        <v>0</v>
      </c>
      <c r="H2" s="296" t="s">
        <v>104</v>
      </c>
      <c r="I2" s="317">
        <f>'Personnel Yr 1'!H5</f>
        <v>44713</v>
      </c>
    </row>
    <row r="3" spans="1:10" ht="14.45" customHeight="1" thickBot="1" x14ac:dyDescent="0.25">
      <c r="A3" s="314"/>
      <c r="D3" s="316"/>
      <c r="E3" s="301"/>
      <c r="F3" s="315"/>
    </row>
    <row r="4" spans="1:10" ht="14.45" customHeight="1" thickBot="1" x14ac:dyDescent="0.25">
      <c r="A4" s="314"/>
      <c r="C4" s="289" t="s">
        <v>447</v>
      </c>
      <c r="D4" s="313">
        <f>ROUND(('Non-personnel'!H52-'Non-personnel'!I90)/25000,0)</f>
        <v>0</v>
      </c>
      <c r="E4" s="312">
        <f>ROUND(('Non-personnel'!J52-'Non-personnel'!K90)/25000,0)</f>
        <v>0</v>
      </c>
      <c r="F4" s="312">
        <f>ROUND(('Non-personnel'!L52-'Non-personnel'!M90)/25000,0)</f>
        <v>0</v>
      </c>
      <c r="G4" s="312">
        <f>ROUND(('Non-personnel'!N52-'Non-personnel'!O90)/25000,0)</f>
        <v>0</v>
      </c>
      <c r="H4" s="312">
        <f>ROUND(('Non-personnel'!P52-'Non-personnel'!Q90)/25000,0)</f>
        <v>0</v>
      </c>
      <c r="I4" s="311">
        <f>SUM(D4:H4)</f>
        <v>0</v>
      </c>
    </row>
    <row r="5" spans="1:10" ht="14.45" customHeight="1" thickBot="1" x14ac:dyDescent="0.25">
      <c r="B5" s="309"/>
      <c r="C5" s="308"/>
      <c r="D5" s="310" t="s">
        <v>35</v>
      </c>
      <c r="E5" s="296" t="s">
        <v>36</v>
      </c>
      <c r="F5" s="296" t="s">
        <v>37</v>
      </c>
      <c r="G5" s="296" t="s">
        <v>38</v>
      </c>
      <c r="H5" s="296" t="s">
        <v>39</v>
      </c>
      <c r="I5" s="296" t="s">
        <v>40</v>
      </c>
    </row>
    <row r="6" spans="1:10" ht="14.45" customHeight="1" x14ac:dyDescent="0.2">
      <c r="A6" s="296" t="s">
        <v>446</v>
      </c>
      <c r="B6" s="309"/>
      <c r="C6" s="308"/>
      <c r="D6" s="859" t="s">
        <v>438</v>
      </c>
      <c r="E6" s="860"/>
      <c r="F6" s="860"/>
      <c r="G6" s="860"/>
      <c r="H6" s="860"/>
      <c r="I6" s="861"/>
    </row>
    <row r="7" spans="1:10" ht="14.45" customHeight="1" x14ac:dyDescent="0.2">
      <c r="C7" s="307" t="s">
        <v>445</v>
      </c>
      <c r="D7" s="299">
        <f>D4*25000</f>
        <v>0</v>
      </c>
      <c r="E7" s="298">
        <f>E4*25000</f>
        <v>0</v>
      </c>
      <c r="F7" s="298">
        <f>F4*25000</f>
        <v>0</v>
      </c>
      <c r="G7" s="298">
        <f>G4*25000</f>
        <v>0</v>
      </c>
      <c r="H7" s="298">
        <f>H4*25000</f>
        <v>0</v>
      </c>
      <c r="I7" s="297">
        <f>SUM(D7:H7)</f>
        <v>0</v>
      </c>
      <c r="J7" s="316"/>
    </row>
    <row r="8" spans="1:10" ht="14.45" customHeight="1" x14ac:dyDescent="0.2">
      <c r="C8" s="307" t="s">
        <v>444</v>
      </c>
      <c r="D8" s="299">
        <f>'Non-personnel'!I90</f>
        <v>0</v>
      </c>
      <c r="E8" s="298">
        <f>'Non-personnel'!K90</f>
        <v>0</v>
      </c>
      <c r="F8" s="298">
        <f>'Non-personnel'!M90</f>
        <v>0</v>
      </c>
      <c r="G8" s="298">
        <f>'Non-personnel'!O90</f>
        <v>0</v>
      </c>
      <c r="H8" s="298">
        <f>'Non-personnel'!Q90</f>
        <v>0</v>
      </c>
      <c r="I8" s="297">
        <f>SUM(D8:H8)</f>
        <v>0</v>
      </c>
    </row>
    <row r="9" spans="1:10" ht="14.45" customHeight="1" x14ac:dyDescent="0.2">
      <c r="C9" s="307" t="s">
        <v>443</v>
      </c>
      <c r="D9" s="299">
        <f>SUM(D7:D8)</f>
        <v>0</v>
      </c>
      <c r="E9" s="298">
        <f>SUM(E7:E8)</f>
        <v>0</v>
      </c>
      <c r="F9" s="298">
        <f>SUM(F7:F8)</f>
        <v>0</v>
      </c>
      <c r="G9" s="298">
        <f>SUM(G7:G8)</f>
        <v>0</v>
      </c>
      <c r="H9" s="298">
        <f>SUM(H7:H8)</f>
        <v>0</v>
      </c>
      <c r="I9" s="297">
        <f>SUM(D9:H9)</f>
        <v>0</v>
      </c>
    </row>
    <row r="10" spans="1:10" ht="14.45" customHeight="1" x14ac:dyDescent="0.2">
      <c r="A10" s="296" t="s">
        <v>442</v>
      </c>
      <c r="C10" s="307"/>
      <c r="D10" s="299"/>
      <c r="E10" s="298"/>
      <c r="F10" s="298"/>
      <c r="G10" s="298"/>
      <c r="H10" s="298"/>
      <c r="I10" s="297"/>
    </row>
    <row r="11" spans="1:10" ht="14.45" customHeight="1" x14ac:dyDescent="0.2">
      <c r="C11" s="306" t="s">
        <v>441</v>
      </c>
      <c r="D11" s="303" t="str">
        <f>'Non-personnel'!B57</f>
        <v>MTDC-NonFed</v>
      </c>
      <c r="E11" s="302" t="str">
        <f>'Non-personnel'!B58</f>
        <v>MTDC-NonFed</v>
      </c>
      <c r="F11" s="302" t="str">
        <f>'Non-personnel'!B59</f>
        <v>MTDC-NonFed</v>
      </c>
      <c r="G11" s="302" t="str">
        <f>'Non-personnel'!B60</f>
        <v>MTDC-NonFed</v>
      </c>
      <c r="H11" s="302" t="str">
        <f>'Non-personnel'!B61</f>
        <v>MTDC-NonFed</v>
      </c>
      <c r="I11" s="297"/>
    </row>
    <row r="12" spans="1:10" ht="14.45" customHeight="1" x14ac:dyDescent="0.2">
      <c r="C12" s="289" t="s">
        <v>440</v>
      </c>
      <c r="D12" s="305">
        <f>IFERROR(LOOKUP('Non-personnel'!C57,IDCDesc,IDCRate),'Non-personnel'!C57)</f>
        <v>0</v>
      </c>
      <c r="E12" s="304">
        <f>IFERROR(LOOKUP('Non-personnel'!C58,IDCDesc,IDCRate),'Non-personnel'!C58)</f>
        <v>0</v>
      </c>
      <c r="F12" s="304">
        <f>IFERROR(LOOKUP('Non-personnel'!C59,IDCDesc,IDCRate),'Non-personnel'!C59)</f>
        <v>0</v>
      </c>
      <c r="G12" s="304">
        <f>IFERROR(LOOKUP('Non-personnel'!C60,IDCDesc,IDCRate),'Non-personnel'!C60)</f>
        <v>0</v>
      </c>
      <c r="H12" s="304">
        <f>IFERROR(LOOKUP('Non-personnel'!C61,IDCDesc,IDCRate),'Non-personnel'!C61)</f>
        <v>0</v>
      </c>
      <c r="I12" s="297"/>
    </row>
    <row r="13" spans="1:10" ht="14.45" customHeight="1" x14ac:dyDescent="0.2">
      <c r="C13" s="289" t="s">
        <v>439</v>
      </c>
      <c r="D13" s="303">
        <f>'Non-personnel'!F57-'Non-personnel'!H52+D9</f>
        <v>0</v>
      </c>
      <c r="E13" s="302">
        <f>IF(OR(ISBLANK('Non-personnel'!F58),'Non-personnel'!F58=""),0,'Non-personnel'!F58)-'Non-personnel'!J52+E9</f>
        <v>0</v>
      </c>
      <c r="F13" s="302">
        <f>IF(OR(ISBLANK('Non-personnel'!F59),'Non-personnel'!F59=""),0,'Non-personnel'!F59)-'Non-personnel'!L52+F9</f>
        <v>0</v>
      </c>
      <c r="G13" s="302">
        <f>IF(OR(ISBLANK('Non-personnel'!F60),'Non-personnel'!F60=""),0,'Non-personnel'!F60)-'Non-personnel'!N52+G9</f>
        <v>0</v>
      </c>
      <c r="H13" s="302">
        <f>IF(OR(ISBLANK('Non-personnel'!F61),'Non-personnel'!F61=""),0,'Non-personnel'!F61)-'Non-personnel'!P52+H9</f>
        <v>0</v>
      </c>
      <c r="I13" s="297">
        <f>SUM(D13:H13)</f>
        <v>0</v>
      </c>
    </row>
    <row r="14" spans="1:10" ht="14.45" customHeight="1" x14ac:dyDescent="0.2">
      <c r="B14" s="300"/>
      <c r="C14" s="301"/>
      <c r="D14" s="856" t="s">
        <v>438</v>
      </c>
      <c r="E14" s="857"/>
      <c r="F14" s="857"/>
      <c r="G14" s="857"/>
      <c r="H14" s="857"/>
      <c r="I14" s="858"/>
    </row>
    <row r="15" spans="1:10" ht="14.45" customHeight="1" x14ac:dyDescent="0.2">
      <c r="B15" s="300"/>
      <c r="C15" s="295" t="s">
        <v>33</v>
      </c>
      <c r="D15" s="299">
        <f>D12*D13</f>
        <v>0</v>
      </c>
      <c r="E15" s="298">
        <f>E12*E13</f>
        <v>0</v>
      </c>
      <c r="F15" s="298">
        <f>F12*F13</f>
        <v>0</v>
      </c>
      <c r="G15" s="298">
        <f>G12*G13</f>
        <v>0</v>
      </c>
      <c r="H15" s="298">
        <f>H12*H13</f>
        <v>0</v>
      </c>
      <c r="I15" s="297">
        <f>SUM(D15:H15)</f>
        <v>0</v>
      </c>
    </row>
    <row r="16" spans="1:10" ht="14.45" customHeight="1" x14ac:dyDescent="0.2">
      <c r="C16" s="295"/>
      <c r="D16" s="856" t="s">
        <v>437</v>
      </c>
      <c r="E16" s="857"/>
      <c r="F16" s="857"/>
      <c r="G16" s="857"/>
      <c r="H16" s="857"/>
      <c r="I16" s="858"/>
    </row>
    <row r="17" spans="1:9" ht="14.45" customHeight="1" thickBot="1" x14ac:dyDescent="0.25">
      <c r="A17" s="296" t="s">
        <v>436</v>
      </c>
      <c r="C17" s="295"/>
      <c r="D17" s="294">
        <f>SUM(D9,D15)</f>
        <v>0</v>
      </c>
      <c r="E17" s="293">
        <f>SUM(E9,E15)</f>
        <v>0</v>
      </c>
      <c r="F17" s="293">
        <f>SUM(F9,F15)</f>
        <v>0</v>
      </c>
      <c r="G17" s="293">
        <f>SUM(G9,G15)</f>
        <v>0</v>
      </c>
      <c r="H17" s="293">
        <f>SUM(H9,H15)</f>
        <v>0</v>
      </c>
      <c r="I17" s="292">
        <f>SUM(D17:H17)</f>
        <v>0</v>
      </c>
    </row>
    <row r="18" spans="1:9" ht="14.45" customHeight="1" thickBot="1" x14ac:dyDescent="0.25">
      <c r="D18" s="290"/>
      <c r="E18" s="291"/>
      <c r="F18" s="291"/>
      <c r="G18" s="290"/>
      <c r="H18" s="290"/>
      <c r="I18" s="290"/>
    </row>
    <row r="19" spans="1:9" ht="14.45" customHeight="1" thickBot="1" x14ac:dyDescent="0.25">
      <c r="C19" s="289" t="s">
        <v>435</v>
      </c>
      <c r="D19" s="288">
        <f>ROUNDUP(SUM('Non-personnel'!H90,'Non-personnel'!I90)/1000,0) * 1000</f>
        <v>0</v>
      </c>
      <c r="E19" s="287">
        <f>ROUNDUP(SUM('Non-personnel'!J90,'Non-personnel'!K90)/1000,0)*1000</f>
        <v>0</v>
      </c>
      <c r="F19" s="287">
        <f>ROUNDUP(SUM('Non-personnel'!L90,'Non-personnel'!M90)/1000,0)*1000</f>
        <v>0</v>
      </c>
      <c r="G19" s="287">
        <f>ROUNDUP(SUM('Non-personnel'!N90,'Non-personnel'!O90)/1000,0)*1000</f>
        <v>0</v>
      </c>
      <c r="H19" s="287">
        <f>ROUNDUP(SUM('Non-personnel'!P90,'Non-personnel'!Q90)/1000,0)*1000</f>
        <v>0</v>
      </c>
      <c r="I19" s="286">
        <f>SUM(D19:H19)</f>
        <v>0</v>
      </c>
    </row>
    <row r="21" spans="1:9" x14ac:dyDescent="0.2">
      <c r="A21" s="384" t="s">
        <v>434</v>
      </c>
      <c r="B21" s="385"/>
      <c r="C21" s="385"/>
      <c r="D21" s="385"/>
      <c r="E21" s="385"/>
      <c r="F21" s="385"/>
      <c r="G21" s="385"/>
      <c r="H21" s="385"/>
      <c r="I21" s="385"/>
    </row>
    <row r="22" spans="1:9" x14ac:dyDescent="0.2">
      <c r="A22" s="425" t="s">
        <v>473</v>
      </c>
      <c r="B22" s="386"/>
      <c r="C22" s="386"/>
      <c r="D22" s="386"/>
      <c r="E22" s="386"/>
      <c r="F22" s="386"/>
      <c r="G22" s="386"/>
      <c r="H22" s="386"/>
      <c r="I22" s="387"/>
    </row>
    <row r="23" spans="1:9" x14ac:dyDescent="0.2">
      <c r="A23" s="426" t="s">
        <v>472</v>
      </c>
      <c r="B23" s="389"/>
      <c r="C23" s="389"/>
      <c r="D23" s="389"/>
      <c r="E23" s="389"/>
      <c r="F23" s="389"/>
      <c r="G23" s="389"/>
      <c r="H23" s="389"/>
      <c r="I23" s="390"/>
    </row>
    <row r="24" spans="1:9" x14ac:dyDescent="0.2">
      <c r="A24" s="388" t="s">
        <v>477</v>
      </c>
      <c r="B24" s="389"/>
      <c r="C24" s="389"/>
      <c r="D24" s="389"/>
      <c r="E24" s="389"/>
      <c r="F24" s="389"/>
      <c r="G24" s="389"/>
      <c r="H24" s="389"/>
      <c r="I24" s="390"/>
    </row>
    <row r="25" spans="1:9" x14ac:dyDescent="0.2">
      <c r="A25" s="426" t="s">
        <v>476</v>
      </c>
      <c r="B25" s="389"/>
      <c r="C25" s="389"/>
      <c r="D25" s="389"/>
      <c r="E25" s="389"/>
      <c r="F25" s="389"/>
      <c r="G25" s="389"/>
      <c r="H25" s="389"/>
      <c r="I25" s="390"/>
    </row>
    <row r="26" spans="1:9" x14ac:dyDescent="0.2">
      <c r="A26" s="428" t="s">
        <v>478</v>
      </c>
      <c r="B26" s="389"/>
      <c r="C26" s="389"/>
      <c r="D26" s="389"/>
      <c r="E26" s="389"/>
      <c r="F26" s="389"/>
      <c r="G26" s="389"/>
      <c r="H26" s="389"/>
      <c r="I26" s="390"/>
    </row>
    <row r="27" spans="1:9" x14ac:dyDescent="0.2">
      <c r="A27" s="426" t="s">
        <v>479</v>
      </c>
      <c r="B27" s="389"/>
      <c r="C27" s="389"/>
      <c r="D27" s="389"/>
      <c r="E27" s="389"/>
      <c r="F27" s="389"/>
      <c r="G27" s="389"/>
      <c r="H27" s="389"/>
      <c r="I27" s="390"/>
    </row>
    <row r="28" spans="1:9" x14ac:dyDescent="0.2">
      <c r="A28" s="426" t="s">
        <v>480</v>
      </c>
      <c r="B28" s="389"/>
      <c r="C28" s="389"/>
      <c r="D28" s="389"/>
      <c r="E28" s="389"/>
      <c r="F28" s="389"/>
      <c r="G28" s="389"/>
      <c r="H28" s="389"/>
      <c r="I28" s="390"/>
    </row>
    <row r="29" spans="1:9" x14ac:dyDescent="0.2">
      <c r="A29" s="426" t="s">
        <v>481</v>
      </c>
      <c r="B29" s="389"/>
      <c r="C29" s="389"/>
      <c r="D29" s="389"/>
      <c r="E29" s="389"/>
      <c r="F29" s="389"/>
      <c r="G29" s="389"/>
      <c r="H29" s="389"/>
      <c r="I29" s="390"/>
    </row>
    <row r="30" spans="1:9" x14ac:dyDescent="0.2">
      <c r="A30" s="388" t="s">
        <v>482</v>
      </c>
      <c r="B30" s="389"/>
      <c r="C30" s="389"/>
      <c r="D30" s="389"/>
      <c r="E30" s="389"/>
      <c r="F30" s="389"/>
      <c r="G30" s="389"/>
      <c r="H30" s="389"/>
      <c r="I30" s="390"/>
    </row>
    <row r="31" spans="1:9" x14ac:dyDescent="0.2">
      <c r="A31" s="427" t="s">
        <v>474</v>
      </c>
      <c r="B31" s="389"/>
      <c r="C31" s="389"/>
      <c r="D31" s="389"/>
      <c r="E31" s="389"/>
      <c r="F31" s="389"/>
      <c r="G31" s="389"/>
      <c r="H31" s="389"/>
      <c r="I31" s="390"/>
    </row>
    <row r="32" spans="1:9" x14ac:dyDescent="0.2">
      <c r="A32" s="388" t="s">
        <v>483</v>
      </c>
      <c r="B32" s="389"/>
      <c r="C32" s="389"/>
      <c r="D32" s="389"/>
      <c r="E32" s="389"/>
      <c r="F32" s="389"/>
      <c r="G32" s="389"/>
      <c r="H32" s="389"/>
      <c r="I32" s="390"/>
    </row>
    <row r="33" spans="1:9" x14ac:dyDescent="0.2">
      <c r="A33" s="426" t="s">
        <v>485</v>
      </c>
      <c r="B33" s="389"/>
      <c r="C33" s="389"/>
      <c r="D33" s="389"/>
      <c r="E33" s="389"/>
      <c r="F33" s="389"/>
      <c r="G33" s="389"/>
      <c r="H33" s="389"/>
      <c r="I33" s="390"/>
    </row>
    <row r="34" spans="1:9" x14ac:dyDescent="0.2">
      <c r="A34" s="426" t="s">
        <v>475</v>
      </c>
      <c r="B34" s="389"/>
      <c r="C34" s="389"/>
      <c r="D34" s="389"/>
      <c r="E34" s="389"/>
      <c r="F34" s="389"/>
      <c r="G34" s="389"/>
      <c r="H34" s="389"/>
      <c r="I34" s="390"/>
    </row>
    <row r="35" spans="1:9" x14ac:dyDescent="0.2">
      <c r="A35" s="391" t="s">
        <v>484</v>
      </c>
      <c r="B35" s="392"/>
      <c r="C35" s="392"/>
      <c r="D35" s="392"/>
      <c r="E35" s="392"/>
      <c r="F35" s="392"/>
      <c r="G35" s="392"/>
      <c r="H35" s="392"/>
      <c r="I35" s="393"/>
    </row>
  </sheetData>
  <sheetProtection algorithmName="SHA-512" hashValue="je2ev0vlmnvMJuIz1F83m2Rw0AjWv8mm2hPGLpPXzpDdMHwtr8lplFittqSFvW3qv6ra11aT1DCxavUMQmVPMA==" saltValue="htNdQrURnc3IeS8DcIZa+Q==" spinCount="100000" sheet="1" objects="1" scenarios="1"/>
  <mergeCells count="6">
    <mergeCell ref="D16:I16"/>
    <mergeCell ref="D14:I14"/>
    <mergeCell ref="D6:I6"/>
    <mergeCell ref="A1:I1"/>
    <mergeCell ref="C2:D2"/>
    <mergeCell ref="A2:B2"/>
  </mergeCells>
  <hyperlinks>
    <hyperlink ref="A31" r:id="rId1" display="http://grants.nih.gov/grants/funding/modular/modular_faq_pub.htm" xr:uid="{00000000-0004-0000-0A00-000000000000}"/>
  </hyperlinks>
  <pageMargins left="0.25" right="0.25" top="0.5" bottom="0.5" header="0.3" footer="0.3"/>
  <pageSetup orientation="portrait" verticalDpi="3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1"/>
  <sheetViews>
    <sheetView workbookViewId="0">
      <selection sqref="A1:G1"/>
    </sheetView>
  </sheetViews>
  <sheetFormatPr defaultRowHeight="12.75" x14ac:dyDescent="0.2"/>
  <cols>
    <col min="1" max="1" width="10.28515625" style="338" bestFit="1" customWidth="1"/>
    <col min="2" max="2" width="9.140625" style="338"/>
    <col min="3" max="6" width="9.28515625" style="338" bestFit="1" customWidth="1"/>
    <col min="7" max="7" width="9.5703125" style="338" bestFit="1" customWidth="1"/>
  </cols>
  <sheetData>
    <row r="1" spans="1:7" s="338" customFormat="1" ht="18" x14ac:dyDescent="0.25">
      <c r="A1" s="864" t="s">
        <v>468</v>
      </c>
      <c r="B1" s="864"/>
      <c r="C1" s="864"/>
      <c r="D1" s="864"/>
      <c r="E1" s="864"/>
      <c r="F1" s="864"/>
      <c r="G1" s="864"/>
    </row>
    <row r="2" spans="1:7" s="338" customFormat="1" ht="13.5" thickBot="1" x14ac:dyDescent="0.25"/>
    <row r="3" spans="1:7" ht="13.5" thickBot="1" x14ac:dyDescent="0.25">
      <c r="A3" s="399" t="s">
        <v>129</v>
      </c>
      <c r="B3" s="400" t="s">
        <v>35</v>
      </c>
      <c r="C3" s="401" t="s">
        <v>36</v>
      </c>
      <c r="D3" s="401" t="s">
        <v>37</v>
      </c>
      <c r="E3" s="401" t="s">
        <v>38</v>
      </c>
      <c r="F3" s="402" t="s">
        <v>39</v>
      </c>
      <c r="G3" s="403" t="s">
        <v>40</v>
      </c>
    </row>
    <row r="4" spans="1:7" x14ac:dyDescent="0.2">
      <c r="A4" s="398" t="s">
        <v>133</v>
      </c>
      <c r="B4" s="407">
        <f>'CUSE Grant Budget Form'!C38</f>
        <v>0</v>
      </c>
      <c r="C4" s="408">
        <f>'CUSE Grant Budget Form'!D38</f>
        <v>0</v>
      </c>
      <c r="D4" s="408">
        <f>'CUSE Grant Budget Form'!E38</f>
        <v>0</v>
      </c>
      <c r="E4" s="408">
        <f>'CUSE Grant Budget Form'!F38</f>
        <v>0</v>
      </c>
      <c r="F4" s="409">
        <f>'CUSE Grant Budget Form'!G38</f>
        <v>0</v>
      </c>
      <c r="G4" s="410">
        <f>'CUSE Grant Budget Form'!H38</f>
        <v>0</v>
      </c>
    </row>
    <row r="5" spans="1:7" x14ac:dyDescent="0.2">
      <c r="A5" s="394" t="s">
        <v>135</v>
      </c>
      <c r="B5" s="136">
        <f>'CUSE Grant Budget Form'!C39</f>
        <v>0</v>
      </c>
      <c r="C5" s="137">
        <f>'CUSE Grant Budget Form'!D39</f>
        <v>0</v>
      </c>
      <c r="D5" s="137">
        <f>'CUSE Grant Budget Form'!E39</f>
        <v>0</v>
      </c>
      <c r="E5" s="137">
        <f>'CUSE Grant Budget Form'!F39</f>
        <v>0</v>
      </c>
      <c r="F5" s="411">
        <f>'CUSE Grant Budget Form'!G39</f>
        <v>0</v>
      </c>
      <c r="G5" s="412">
        <f>'CUSE Grant Budget Form'!H39</f>
        <v>0</v>
      </c>
    </row>
    <row r="6" spans="1:7" x14ac:dyDescent="0.2">
      <c r="A6" s="395" t="s">
        <v>412</v>
      </c>
      <c r="B6" s="136">
        <f>'CUSE Grant Budget Form'!C40</f>
        <v>0</v>
      </c>
      <c r="C6" s="137">
        <f>'CUSE Grant Budget Form'!D40</f>
        <v>0</v>
      </c>
      <c r="D6" s="137">
        <f>'CUSE Grant Budget Form'!E40</f>
        <v>0</v>
      </c>
      <c r="E6" s="137">
        <f>'CUSE Grant Budget Form'!F40</f>
        <v>0</v>
      </c>
      <c r="F6" s="411">
        <f>'CUSE Grant Budget Form'!G40</f>
        <v>0</v>
      </c>
      <c r="G6" s="412">
        <f>'CUSE Grant Budget Form'!H40</f>
        <v>0</v>
      </c>
    </row>
    <row r="7" spans="1:7" x14ac:dyDescent="0.2">
      <c r="A7" s="394" t="s">
        <v>147</v>
      </c>
      <c r="B7" s="136">
        <f>'CUSE Grant Budget Form'!C102</f>
        <v>0</v>
      </c>
      <c r="C7" s="137">
        <f>'CUSE Grant Budget Form'!D102</f>
        <v>0</v>
      </c>
      <c r="D7" s="137">
        <f>'CUSE Grant Budget Form'!E102</f>
        <v>0</v>
      </c>
      <c r="E7" s="137">
        <f>'CUSE Grant Budget Form'!F102</f>
        <v>0</v>
      </c>
      <c r="F7" s="411">
        <f>'CUSE Grant Budget Form'!G102</f>
        <v>0</v>
      </c>
      <c r="G7" s="412">
        <f>'CUSE Grant Budget Form'!H102</f>
        <v>0</v>
      </c>
    </row>
    <row r="8" spans="1:7" x14ac:dyDescent="0.2">
      <c r="A8" s="394" t="s">
        <v>148</v>
      </c>
      <c r="B8" s="136">
        <f>'CUSE Grant Budget Form'!C103</f>
        <v>0</v>
      </c>
      <c r="C8" s="137">
        <f>'CUSE Grant Budget Form'!D103</f>
        <v>0</v>
      </c>
      <c r="D8" s="137">
        <f>'CUSE Grant Budget Form'!E103</f>
        <v>0</v>
      </c>
      <c r="E8" s="137">
        <f>'CUSE Grant Budget Form'!F103</f>
        <v>0</v>
      </c>
      <c r="F8" s="411">
        <f>'CUSE Grant Budget Form'!G103</f>
        <v>0</v>
      </c>
      <c r="G8" s="412">
        <f>'CUSE Grant Budget Form'!H103</f>
        <v>0</v>
      </c>
    </row>
    <row r="9" spans="1:7" x14ac:dyDescent="0.2">
      <c r="A9" s="396" t="s">
        <v>417</v>
      </c>
      <c r="B9" s="136">
        <f>'CUSE Grant Budget Form'!C105</f>
        <v>0</v>
      </c>
      <c r="C9" s="137">
        <f>'CUSE Grant Budget Form'!D105</f>
        <v>0</v>
      </c>
      <c r="D9" s="137">
        <f>'CUSE Grant Budget Form'!E105</f>
        <v>0</v>
      </c>
      <c r="E9" s="137">
        <f>'CUSE Grant Budget Form'!F105</f>
        <v>0</v>
      </c>
      <c r="F9" s="411">
        <f>'CUSE Grant Budget Form'!G105</f>
        <v>0</v>
      </c>
      <c r="G9" s="412">
        <f>'CUSE Grant Budget Form'!H105</f>
        <v>0</v>
      </c>
    </row>
    <row r="10" spans="1:7" x14ac:dyDescent="0.2">
      <c r="A10" s="395" t="s">
        <v>416</v>
      </c>
      <c r="B10" s="136">
        <f>'CUSE Grant Budget Form'!C106</f>
        <v>0</v>
      </c>
      <c r="C10" s="137">
        <f>'CUSE Grant Budget Form'!D106</f>
        <v>0</v>
      </c>
      <c r="D10" s="137">
        <f>'CUSE Grant Budget Form'!E106</f>
        <v>0</v>
      </c>
      <c r="E10" s="137">
        <f>'CUSE Grant Budget Form'!F106</f>
        <v>0</v>
      </c>
      <c r="F10" s="411">
        <f>'CUSE Grant Budget Form'!G106</f>
        <v>0</v>
      </c>
      <c r="G10" s="412">
        <f>'CUSE Grant Budget Form'!H106</f>
        <v>0</v>
      </c>
    </row>
    <row r="11" spans="1:7" x14ac:dyDescent="0.2">
      <c r="A11" s="396" t="s">
        <v>413</v>
      </c>
      <c r="B11" s="136">
        <f>'CUSE Grant Budget Form'!C107</f>
        <v>0</v>
      </c>
      <c r="C11" s="137">
        <f>'CUSE Grant Budget Form'!D107</f>
        <v>0</v>
      </c>
      <c r="D11" s="137">
        <f>'CUSE Grant Budget Form'!E107</f>
        <v>0</v>
      </c>
      <c r="E11" s="137">
        <f>'CUSE Grant Budget Form'!F107</f>
        <v>0</v>
      </c>
      <c r="F11" s="411">
        <f>'CUSE Grant Budget Form'!G107</f>
        <v>0</v>
      </c>
      <c r="G11" s="412">
        <f>'CUSE Grant Budget Form'!H107</f>
        <v>0</v>
      </c>
    </row>
    <row r="12" spans="1:7" x14ac:dyDescent="0.2">
      <c r="A12" s="395" t="s">
        <v>414</v>
      </c>
      <c r="B12" s="136">
        <f>'CUSE Grant Budget Form'!C108</f>
        <v>0</v>
      </c>
      <c r="C12" s="137">
        <f>'CUSE Grant Budget Form'!D108</f>
        <v>0</v>
      </c>
      <c r="D12" s="137">
        <f>'CUSE Grant Budget Form'!E108</f>
        <v>0</v>
      </c>
      <c r="E12" s="137">
        <f>'CUSE Grant Budget Form'!F108</f>
        <v>0</v>
      </c>
      <c r="F12" s="411">
        <f>'CUSE Grant Budget Form'!G108</f>
        <v>0</v>
      </c>
      <c r="G12" s="412">
        <f>'CUSE Grant Budget Form'!H108</f>
        <v>0</v>
      </c>
    </row>
    <row r="13" spans="1:7" x14ac:dyDescent="0.2">
      <c r="A13" s="395" t="s">
        <v>418</v>
      </c>
      <c r="B13" s="136">
        <f>'CUSE Grant Budget Form'!C109</f>
        <v>0</v>
      </c>
      <c r="C13" s="137">
        <f>'CUSE Grant Budget Form'!D109</f>
        <v>0</v>
      </c>
      <c r="D13" s="137">
        <f>'CUSE Grant Budget Form'!E109</f>
        <v>0</v>
      </c>
      <c r="E13" s="137">
        <f>'CUSE Grant Budget Form'!F109</f>
        <v>0</v>
      </c>
      <c r="F13" s="411">
        <f>'CUSE Grant Budget Form'!G109</f>
        <v>0</v>
      </c>
      <c r="G13" s="412">
        <f>'CUSE Grant Budget Form'!H109</f>
        <v>0</v>
      </c>
    </row>
    <row r="14" spans="1:7" x14ac:dyDescent="0.2">
      <c r="A14" s="395" t="s">
        <v>415</v>
      </c>
      <c r="B14" s="136">
        <f>'CUSE Grant Budget Form'!C110</f>
        <v>0</v>
      </c>
      <c r="C14" s="137">
        <f>'CUSE Grant Budget Form'!D110</f>
        <v>0</v>
      </c>
      <c r="D14" s="137">
        <f>'CUSE Grant Budget Form'!E110</f>
        <v>0</v>
      </c>
      <c r="E14" s="137">
        <f>'CUSE Grant Budget Form'!F110</f>
        <v>0</v>
      </c>
      <c r="F14" s="411">
        <f>'CUSE Grant Budget Form'!G110</f>
        <v>0</v>
      </c>
      <c r="G14" s="412">
        <f>'CUSE Grant Budget Form'!H110</f>
        <v>0</v>
      </c>
    </row>
    <row r="15" spans="1:7" x14ac:dyDescent="0.2">
      <c r="A15" s="394" t="s">
        <v>159</v>
      </c>
      <c r="B15" s="136">
        <f>'CUSE Grant Budget Form'!C122</f>
        <v>0</v>
      </c>
      <c r="C15" s="137">
        <f>'CUSE Grant Budget Form'!D122</f>
        <v>0</v>
      </c>
      <c r="D15" s="137">
        <f>'CUSE Grant Budget Form'!E122</f>
        <v>0</v>
      </c>
      <c r="E15" s="137">
        <f>'CUSE Grant Budget Form'!F122</f>
        <v>0</v>
      </c>
      <c r="F15" s="411">
        <f>'CUSE Grant Budget Form'!G122</f>
        <v>0</v>
      </c>
      <c r="G15" s="412">
        <f>'CUSE Grant Budget Form'!H122</f>
        <v>0</v>
      </c>
    </row>
    <row r="16" spans="1:7" x14ac:dyDescent="0.2">
      <c r="A16" s="397" t="s">
        <v>162</v>
      </c>
      <c r="B16" s="136">
        <f>'CUSE Grant Budget Form'!C128</f>
        <v>0</v>
      </c>
      <c r="C16" s="137">
        <f>'CUSE Grant Budget Form'!D128</f>
        <v>0</v>
      </c>
      <c r="D16" s="137">
        <f>'CUSE Grant Budget Form'!E128</f>
        <v>0</v>
      </c>
      <c r="E16" s="137">
        <f>'CUSE Grant Budget Form'!F128</f>
        <v>0</v>
      </c>
      <c r="F16" s="411">
        <f>'CUSE Grant Budget Form'!G128</f>
        <v>0</v>
      </c>
      <c r="G16" s="412">
        <f>'CUSE Grant Budget Form'!H128</f>
        <v>0</v>
      </c>
    </row>
    <row r="17" spans="1:7" x14ac:dyDescent="0.2">
      <c r="A17" s="397" t="s">
        <v>165</v>
      </c>
      <c r="B17" s="136">
        <f>'CUSE Grant Budget Form'!C131</f>
        <v>0</v>
      </c>
      <c r="C17" s="137">
        <f>'CUSE Grant Budget Form'!D131</f>
        <v>0</v>
      </c>
      <c r="D17" s="137">
        <f>'CUSE Grant Budget Form'!E131</f>
        <v>0</v>
      </c>
      <c r="E17" s="137">
        <f>'CUSE Grant Budget Form'!F131</f>
        <v>0</v>
      </c>
      <c r="F17" s="411">
        <f>'CUSE Grant Budget Form'!G131</f>
        <v>0</v>
      </c>
      <c r="G17" s="412">
        <f>'CUSE Grant Budget Form'!H131</f>
        <v>0</v>
      </c>
    </row>
    <row r="18" spans="1:7" x14ac:dyDescent="0.2">
      <c r="A18" s="397" t="s">
        <v>166</v>
      </c>
      <c r="B18" s="136">
        <f>'CUSE Grant Budget Form'!C132</f>
        <v>0</v>
      </c>
      <c r="C18" s="137">
        <f>'CUSE Grant Budget Form'!D132</f>
        <v>0</v>
      </c>
      <c r="D18" s="137">
        <f>'CUSE Grant Budget Form'!E132</f>
        <v>0</v>
      </c>
      <c r="E18" s="137">
        <f>'CUSE Grant Budget Form'!F132</f>
        <v>0</v>
      </c>
      <c r="F18" s="411">
        <f>'CUSE Grant Budget Form'!G132</f>
        <v>0</v>
      </c>
      <c r="G18" s="412">
        <f>'CUSE Grant Budget Form'!H132</f>
        <v>0</v>
      </c>
    </row>
    <row r="19" spans="1:7" x14ac:dyDescent="0.2">
      <c r="A19" s="432" t="s">
        <v>168</v>
      </c>
      <c r="B19" s="433">
        <f>'CUSE Grant Budget Form'!C133</f>
        <v>0</v>
      </c>
      <c r="C19" s="434">
        <f>'CUSE Grant Budget Form'!D133</f>
        <v>0</v>
      </c>
      <c r="D19" s="434">
        <f>'CUSE Grant Budget Form'!E133</f>
        <v>0</v>
      </c>
      <c r="E19" s="434">
        <f>'CUSE Grant Budget Form'!F133</f>
        <v>0</v>
      </c>
      <c r="F19" s="435">
        <f>'CUSE Grant Budget Form'!G133</f>
        <v>0</v>
      </c>
      <c r="G19" s="436">
        <f>'CUSE Grant Budget Form'!H133</f>
        <v>0</v>
      </c>
    </row>
    <row r="20" spans="1:7" x14ac:dyDescent="0.2">
      <c r="A20" s="397" t="s">
        <v>170</v>
      </c>
      <c r="B20" s="136">
        <f>'CUSE Grant Budget Form'!C136</f>
        <v>0</v>
      </c>
      <c r="C20" s="137">
        <f>'CUSE Grant Budget Form'!D136</f>
        <v>0</v>
      </c>
      <c r="D20" s="137">
        <f>'CUSE Grant Budget Form'!E136</f>
        <v>0</v>
      </c>
      <c r="E20" s="137">
        <f>'CUSE Grant Budget Form'!F136</f>
        <v>0</v>
      </c>
      <c r="F20" s="411">
        <f>'CUSE Grant Budget Form'!G136</f>
        <v>0</v>
      </c>
      <c r="G20" s="412">
        <f>'CUSE Grant Budget Form'!H136</f>
        <v>0</v>
      </c>
    </row>
    <row r="21" spans="1:7" x14ac:dyDescent="0.2">
      <c r="A21" s="396" t="s">
        <v>457</v>
      </c>
      <c r="B21" s="136">
        <f>'CUSE Grant Budget Form'!C137</f>
        <v>0</v>
      </c>
      <c r="C21" s="137">
        <f>'CUSE Grant Budget Form'!D137</f>
        <v>0</v>
      </c>
      <c r="D21" s="137">
        <f>'CUSE Grant Budget Form'!E137</f>
        <v>0</v>
      </c>
      <c r="E21" s="137">
        <f>'CUSE Grant Budget Form'!F137</f>
        <v>0</v>
      </c>
      <c r="F21" s="411">
        <f>'CUSE Grant Budget Form'!G137</f>
        <v>0</v>
      </c>
      <c r="G21" s="412">
        <f>'CUSE Grant Budget Form'!H137</f>
        <v>0</v>
      </c>
    </row>
    <row r="22" spans="1:7" x14ac:dyDescent="0.2">
      <c r="A22" s="397" t="s">
        <v>171</v>
      </c>
      <c r="B22" s="136">
        <f>'CUSE Grant Budget Form'!C138</f>
        <v>0</v>
      </c>
      <c r="C22" s="137">
        <f>'CUSE Grant Budget Form'!D138</f>
        <v>0</v>
      </c>
      <c r="D22" s="137">
        <f>'CUSE Grant Budget Form'!E138</f>
        <v>0</v>
      </c>
      <c r="E22" s="137">
        <f>'CUSE Grant Budget Form'!F138</f>
        <v>0</v>
      </c>
      <c r="F22" s="411">
        <f>'CUSE Grant Budget Form'!G138</f>
        <v>0</v>
      </c>
      <c r="G22" s="412">
        <f>'CUSE Grant Budget Form'!H138</f>
        <v>0</v>
      </c>
    </row>
    <row r="23" spans="1:7" x14ac:dyDescent="0.2">
      <c r="A23" s="397" t="s">
        <v>172</v>
      </c>
      <c r="B23" s="136">
        <f>'CUSE Grant Budget Form'!C139</f>
        <v>0</v>
      </c>
      <c r="C23" s="137">
        <f>'CUSE Grant Budget Form'!D139</f>
        <v>0</v>
      </c>
      <c r="D23" s="137">
        <f>'CUSE Grant Budget Form'!E139</f>
        <v>0</v>
      </c>
      <c r="E23" s="137">
        <f>'CUSE Grant Budget Form'!F139</f>
        <v>0</v>
      </c>
      <c r="F23" s="411">
        <f>'CUSE Grant Budget Form'!G139</f>
        <v>0</v>
      </c>
      <c r="G23" s="412">
        <f>'CUSE Grant Budget Form'!H139</f>
        <v>0</v>
      </c>
    </row>
    <row r="24" spans="1:7" x14ac:dyDescent="0.2">
      <c r="A24" s="397" t="s">
        <v>175</v>
      </c>
      <c r="B24" s="136">
        <f>'CUSE Grant Budget Form'!C143</f>
        <v>0</v>
      </c>
      <c r="C24" s="137">
        <f>'CUSE Grant Budget Form'!D143</f>
        <v>0</v>
      </c>
      <c r="D24" s="137">
        <f>'CUSE Grant Budget Form'!E143</f>
        <v>0</v>
      </c>
      <c r="E24" s="137">
        <f>'CUSE Grant Budget Form'!F143</f>
        <v>0</v>
      </c>
      <c r="F24" s="411">
        <f>'CUSE Grant Budget Form'!G143</f>
        <v>0</v>
      </c>
      <c r="G24" s="412">
        <f>'CUSE Grant Budget Form'!H143</f>
        <v>0</v>
      </c>
    </row>
    <row r="25" spans="1:7" x14ac:dyDescent="0.2">
      <c r="A25" s="397" t="s">
        <v>176</v>
      </c>
      <c r="B25" s="136">
        <f>'CUSE Grant Budget Form'!C144</f>
        <v>0</v>
      </c>
      <c r="C25" s="137">
        <f>'CUSE Grant Budget Form'!D144</f>
        <v>0</v>
      </c>
      <c r="D25" s="137">
        <f>'CUSE Grant Budget Form'!E144</f>
        <v>0</v>
      </c>
      <c r="E25" s="137">
        <f>'CUSE Grant Budget Form'!F144</f>
        <v>0</v>
      </c>
      <c r="F25" s="411">
        <f>'CUSE Grant Budget Form'!G144</f>
        <v>0</v>
      </c>
      <c r="G25" s="412">
        <f>'CUSE Grant Budget Form'!H144</f>
        <v>0</v>
      </c>
    </row>
    <row r="26" spans="1:7" x14ac:dyDescent="0.2">
      <c r="A26" s="397" t="s">
        <v>177</v>
      </c>
      <c r="B26" s="136">
        <f>'CUSE Grant Budget Form'!C146</f>
        <v>0</v>
      </c>
      <c r="C26" s="137">
        <f>'CUSE Grant Budget Form'!D146</f>
        <v>0</v>
      </c>
      <c r="D26" s="137">
        <f>'CUSE Grant Budget Form'!E146</f>
        <v>0</v>
      </c>
      <c r="E26" s="137">
        <f>'CUSE Grant Budget Form'!F146</f>
        <v>0</v>
      </c>
      <c r="F26" s="411">
        <f>'CUSE Grant Budget Form'!G146</f>
        <v>0</v>
      </c>
      <c r="G26" s="412">
        <f>'CUSE Grant Budget Form'!H146</f>
        <v>0</v>
      </c>
    </row>
    <row r="27" spans="1:7" x14ac:dyDescent="0.2">
      <c r="A27" s="397" t="s">
        <v>178</v>
      </c>
      <c r="B27" s="136">
        <f>'CUSE Grant Budget Form'!C147</f>
        <v>0</v>
      </c>
      <c r="C27" s="137">
        <f>'CUSE Grant Budget Form'!D147</f>
        <v>0</v>
      </c>
      <c r="D27" s="137">
        <f>'CUSE Grant Budget Form'!E147</f>
        <v>0</v>
      </c>
      <c r="E27" s="137">
        <f>'CUSE Grant Budget Form'!F147</f>
        <v>0</v>
      </c>
      <c r="F27" s="411">
        <f>'CUSE Grant Budget Form'!G147</f>
        <v>0</v>
      </c>
      <c r="G27" s="412">
        <f>'CUSE Grant Budget Form'!H147</f>
        <v>0</v>
      </c>
    </row>
    <row r="28" spans="1:7" x14ac:dyDescent="0.2">
      <c r="A28" s="397" t="s">
        <v>179</v>
      </c>
      <c r="B28" s="136">
        <f>'CUSE Grant Budget Form'!C148</f>
        <v>0</v>
      </c>
      <c r="C28" s="137">
        <f>'CUSE Grant Budget Form'!D148</f>
        <v>0</v>
      </c>
      <c r="D28" s="137">
        <f>'CUSE Grant Budget Form'!E148</f>
        <v>0</v>
      </c>
      <c r="E28" s="137">
        <f>'CUSE Grant Budget Form'!F148</f>
        <v>0</v>
      </c>
      <c r="F28" s="411">
        <f>'CUSE Grant Budget Form'!G148</f>
        <v>0</v>
      </c>
      <c r="G28" s="412">
        <f>'CUSE Grant Budget Form'!H148</f>
        <v>0</v>
      </c>
    </row>
    <row r="29" spans="1:7" x14ac:dyDescent="0.2">
      <c r="A29" s="396" t="s">
        <v>423</v>
      </c>
      <c r="B29" s="136">
        <f>'CUSE Grant Budget Form'!C150</f>
        <v>0</v>
      </c>
      <c r="C29" s="137">
        <f>'CUSE Grant Budget Form'!D150</f>
        <v>0</v>
      </c>
      <c r="D29" s="137">
        <f>'CUSE Grant Budget Form'!E150</f>
        <v>0</v>
      </c>
      <c r="E29" s="137">
        <f>'CUSE Grant Budget Form'!F150</f>
        <v>0</v>
      </c>
      <c r="F29" s="411">
        <f>'CUSE Grant Budget Form'!G150</f>
        <v>0</v>
      </c>
      <c r="G29" s="412">
        <f>'CUSE Grant Budget Form'!H150</f>
        <v>0</v>
      </c>
    </row>
    <row r="30" spans="1:7" x14ac:dyDescent="0.2">
      <c r="A30" s="396" t="s">
        <v>424</v>
      </c>
      <c r="B30" s="136">
        <f>'CUSE Grant Budget Form'!C151</f>
        <v>0</v>
      </c>
      <c r="C30" s="137">
        <f>'CUSE Grant Budget Form'!D151</f>
        <v>0</v>
      </c>
      <c r="D30" s="137">
        <f>'CUSE Grant Budget Form'!E151</f>
        <v>0</v>
      </c>
      <c r="E30" s="137">
        <f>'CUSE Grant Budget Form'!F151</f>
        <v>0</v>
      </c>
      <c r="F30" s="411">
        <f>'CUSE Grant Budget Form'!G151</f>
        <v>0</v>
      </c>
      <c r="G30" s="412">
        <f>'CUSE Grant Budget Form'!H151</f>
        <v>0</v>
      </c>
    </row>
    <row r="31" spans="1:7" x14ac:dyDescent="0.2">
      <c r="A31" s="397" t="s">
        <v>183</v>
      </c>
      <c r="B31" s="136">
        <f>'CUSE Grant Budget Form'!C152</f>
        <v>0</v>
      </c>
      <c r="C31" s="137">
        <f>'CUSE Grant Budget Form'!D152</f>
        <v>0</v>
      </c>
      <c r="D31" s="137">
        <f>'CUSE Grant Budget Form'!E152</f>
        <v>0</v>
      </c>
      <c r="E31" s="137">
        <f>'CUSE Grant Budget Form'!F152</f>
        <v>0</v>
      </c>
      <c r="F31" s="411">
        <f>'CUSE Grant Budget Form'!G152</f>
        <v>0</v>
      </c>
      <c r="G31" s="412">
        <f>'CUSE Grant Budget Form'!H152</f>
        <v>0</v>
      </c>
    </row>
    <row r="32" spans="1:7" x14ac:dyDescent="0.2">
      <c r="A32" s="396" t="s">
        <v>426</v>
      </c>
      <c r="B32" s="136">
        <f>'CUSE Grant Budget Form'!C153</f>
        <v>0</v>
      </c>
      <c r="C32" s="137">
        <f>'CUSE Grant Budget Form'!D153</f>
        <v>0</v>
      </c>
      <c r="D32" s="137">
        <f>'CUSE Grant Budget Form'!E153</f>
        <v>0</v>
      </c>
      <c r="E32" s="137">
        <f>'CUSE Grant Budget Form'!F153</f>
        <v>0</v>
      </c>
      <c r="F32" s="411">
        <f>'CUSE Grant Budget Form'!G153</f>
        <v>0</v>
      </c>
      <c r="G32" s="412">
        <f>'CUSE Grant Budget Form'!H153</f>
        <v>0</v>
      </c>
    </row>
    <row r="33" spans="1:7" x14ac:dyDescent="0.2">
      <c r="A33" s="397" t="s">
        <v>425</v>
      </c>
      <c r="B33" s="136">
        <f>'CUSE Grant Budget Form'!C154</f>
        <v>0</v>
      </c>
      <c r="C33" s="137">
        <f>'CUSE Grant Budget Form'!D154</f>
        <v>0</v>
      </c>
      <c r="D33" s="137">
        <f>'CUSE Grant Budget Form'!E154</f>
        <v>0</v>
      </c>
      <c r="E33" s="137">
        <f>'CUSE Grant Budget Form'!F154</f>
        <v>0</v>
      </c>
      <c r="F33" s="411">
        <f>'CUSE Grant Budget Form'!G154</f>
        <v>0</v>
      </c>
      <c r="G33" s="412">
        <f>'CUSE Grant Budget Form'!H154</f>
        <v>0</v>
      </c>
    </row>
    <row r="34" spans="1:7" x14ac:dyDescent="0.2">
      <c r="A34" s="396" t="s">
        <v>428</v>
      </c>
      <c r="B34" s="136">
        <f>'CUSE Grant Budget Form'!C155</f>
        <v>0</v>
      </c>
      <c r="C34" s="137">
        <f>'CUSE Grant Budget Form'!D155</f>
        <v>0</v>
      </c>
      <c r="D34" s="137">
        <f>'CUSE Grant Budget Form'!E155</f>
        <v>0</v>
      </c>
      <c r="E34" s="137">
        <f>'CUSE Grant Budget Form'!F155</f>
        <v>0</v>
      </c>
      <c r="F34" s="411">
        <f>'CUSE Grant Budget Form'!G155</f>
        <v>0</v>
      </c>
      <c r="G34" s="412">
        <f>'CUSE Grant Budget Form'!H155</f>
        <v>0</v>
      </c>
    </row>
    <row r="35" spans="1:7" x14ac:dyDescent="0.2">
      <c r="A35" s="396" t="s">
        <v>180</v>
      </c>
      <c r="B35" s="136">
        <f>'CUSE Grant Budget Form'!C156</f>
        <v>0</v>
      </c>
      <c r="C35" s="137">
        <f>'CUSE Grant Budget Form'!D156</f>
        <v>0</v>
      </c>
      <c r="D35" s="137">
        <f>'CUSE Grant Budget Form'!E156</f>
        <v>0</v>
      </c>
      <c r="E35" s="137">
        <f>'CUSE Grant Budget Form'!F156</f>
        <v>0</v>
      </c>
      <c r="F35" s="411">
        <f>'CUSE Grant Budget Form'!G156</f>
        <v>0</v>
      </c>
      <c r="G35" s="412">
        <f>'CUSE Grant Budget Form'!H156</f>
        <v>0</v>
      </c>
    </row>
    <row r="36" spans="1:7" x14ac:dyDescent="0.2">
      <c r="A36" s="396" t="s">
        <v>181</v>
      </c>
      <c r="B36" s="136">
        <f>'CUSE Grant Budget Form'!C157</f>
        <v>0</v>
      </c>
      <c r="C36" s="137">
        <f>'CUSE Grant Budget Form'!D157</f>
        <v>0</v>
      </c>
      <c r="D36" s="137">
        <f>'CUSE Grant Budget Form'!E157</f>
        <v>0</v>
      </c>
      <c r="E36" s="137">
        <f>'CUSE Grant Budget Form'!F157</f>
        <v>0</v>
      </c>
      <c r="F36" s="411">
        <f>'CUSE Grant Budget Form'!G157</f>
        <v>0</v>
      </c>
      <c r="G36" s="412">
        <f>'CUSE Grant Budget Form'!H157</f>
        <v>0</v>
      </c>
    </row>
    <row r="37" spans="1:7" x14ac:dyDescent="0.2">
      <c r="A37" s="396" t="s">
        <v>182</v>
      </c>
      <c r="B37" s="136">
        <f>'CUSE Grant Budget Form'!C158</f>
        <v>0</v>
      </c>
      <c r="C37" s="137">
        <f>'CUSE Grant Budget Form'!D158</f>
        <v>0</v>
      </c>
      <c r="D37" s="137">
        <f>'CUSE Grant Budget Form'!E158</f>
        <v>0</v>
      </c>
      <c r="E37" s="137">
        <f>'CUSE Grant Budget Form'!F158</f>
        <v>0</v>
      </c>
      <c r="F37" s="411">
        <f>'CUSE Grant Budget Form'!G158</f>
        <v>0</v>
      </c>
      <c r="G37" s="412">
        <f>'CUSE Grant Budget Form'!H158</f>
        <v>0</v>
      </c>
    </row>
    <row r="38" spans="1:7" x14ac:dyDescent="0.2">
      <c r="A38" s="396" t="s">
        <v>184</v>
      </c>
      <c r="B38" s="136">
        <f>'CUSE Grant Budget Form'!C159</f>
        <v>0</v>
      </c>
      <c r="C38" s="137">
        <f>'CUSE Grant Budget Form'!D159</f>
        <v>0</v>
      </c>
      <c r="D38" s="137">
        <f>'CUSE Grant Budget Form'!E159</f>
        <v>0</v>
      </c>
      <c r="E38" s="137">
        <f>'CUSE Grant Budget Form'!F159</f>
        <v>0</v>
      </c>
      <c r="F38" s="411">
        <f>'CUSE Grant Budget Form'!G159</f>
        <v>0</v>
      </c>
      <c r="G38" s="412">
        <f>'CUSE Grant Budget Form'!H159</f>
        <v>0</v>
      </c>
    </row>
    <row r="39" spans="1:7" x14ac:dyDescent="0.2">
      <c r="A39" s="432" t="s">
        <v>185</v>
      </c>
      <c r="B39" s="433">
        <f>'CUSE Grant Budget Form'!C160</f>
        <v>0</v>
      </c>
      <c r="C39" s="434">
        <f>'CUSE Grant Budget Form'!D160</f>
        <v>0</v>
      </c>
      <c r="D39" s="434">
        <f>'CUSE Grant Budget Form'!E160</f>
        <v>0</v>
      </c>
      <c r="E39" s="434">
        <f>'CUSE Grant Budget Form'!F160</f>
        <v>0</v>
      </c>
      <c r="F39" s="435">
        <f>'CUSE Grant Budget Form'!G160</f>
        <v>0</v>
      </c>
      <c r="G39" s="436">
        <f>'CUSE Grant Budget Form'!H160</f>
        <v>0</v>
      </c>
    </row>
    <row r="40" spans="1:7" ht="13.5" thickBot="1" x14ac:dyDescent="0.25">
      <c r="A40" s="404" t="s">
        <v>195</v>
      </c>
      <c r="B40" s="413">
        <f>'CUSE Grant Budget Form'!C173</f>
        <v>0</v>
      </c>
      <c r="C40" s="414">
        <f>'CUSE Grant Budget Form'!D173</f>
        <v>0</v>
      </c>
      <c r="D40" s="414">
        <f>'CUSE Grant Budget Form'!E173</f>
        <v>0</v>
      </c>
      <c r="E40" s="414">
        <f>'CUSE Grant Budget Form'!F173</f>
        <v>0</v>
      </c>
      <c r="F40" s="415">
        <f>'CUSE Grant Budget Form'!G173</f>
        <v>0</v>
      </c>
      <c r="G40" s="416">
        <f>'CUSE Grant Budget Form'!H173</f>
        <v>0</v>
      </c>
    </row>
    <row r="41" spans="1:7" ht="13.5" thickBot="1" x14ac:dyDescent="0.25">
      <c r="A41" s="399" t="s">
        <v>40</v>
      </c>
      <c r="B41" s="417">
        <f>SUM(B4:B16,B19:B34,B39:B40)</f>
        <v>0</v>
      </c>
      <c r="C41" s="417">
        <f t="shared" ref="C41:G41" si="0">SUM(C4:C16,C19:C34,C39:C40)</f>
        <v>0</v>
      </c>
      <c r="D41" s="417">
        <f t="shared" si="0"/>
        <v>0</v>
      </c>
      <c r="E41" s="417">
        <f t="shared" si="0"/>
        <v>0</v>
      </c>
      <c r="F41" s="431">
        <f t="shared" si="0"/>
        <v>0</v>
      </c>
      <c r="G41" s="418">
        <f t="shared" si="0"/>
        <v>0</v>
      </c>
    </row>
  </sheetData>
  <sheetProtection algorithmName="SHA-512" hashValue="wu447BHKAES0zFPgzAhHgH0mB3rkKCzItaK6JMbCn6pFbeRsxlUNh87AQtc1uHZLCnBPbDCAmNFG/3O3qKe6tg==" saltValue="JiNA8008V4AKwcJiBYTDAg==" spinCount="100000" sheet="1" objects="1" scenarios="1"/>
  <mergeCells count="1">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Q12"/>
  <sheetViews>
    <sheetView topLeftCell="C1" workbookViewId="0">
      <selection activeCell="D1" sqref="D1"/>
    </sheetView>
  </sheetViews>
  <sheetFormatPr defaultRowHeight="12.75" x14ac:dyDescent="0.2"/>
  <cols>
    <col min="1" max="1" width="4.28515625" bestFit="1" customWidth="1"/>
    <col min="2" max="2" width="10.7109375" customWidth="1"/>
    <col min="3" max="3" width="11" bestFit="1" customWidth="1"/>
    <col min="4" max="4" width="9.28515625" bestFit="1" customWidth="1"/>
    <col min="5" max="5" width="4.28515625" bestFit="1" customWidth="1"/>
    <col min="6" max="6" width="29.85546875" style="201" bestFit="1" customWidth="1"/>
    <col min="7" max="7" width="21.5703125" style="201" bestFit="1" customWidth="1"/>
    <col min="8" max="8" width="9.28515625" bestFit="1" customWidth="1"/>
    <col min="9" max="9" width="29.85546875" style="203" bestFit="1" customWidth="1"/>
    <col min="10" max="10" width="21.5703125" style="203" bestFit="1" customWidth="1"/>
    <col min="11" max="11" width="10.7109375" style="203" bestFit="1" customWidth="1"/>
    <col min="12" max="12" width="14" bestFit="1" customWidth="1"/>
    <col min="14" max="14" width="12" bestFit="1" customWidth="1"/>
    <col min="15" max="15" width="12.140625" bestFit="1" customWidth="1"/>
    <col min="16" max="16" width="14.85546875" bestFit="1" customWidth="1"/>
    <col min="17" max="17" width="14.42578125" bestFit="1" customWidth="1"/>
  </cols>
  <sheetData>
    <row r="1" spans="1:17" x14ac:dyDescent="0.2">
      <c r="A1" s="5" t="s">
        <v>108</v>
      </c>
      <c r="B1" s="5" t="s">
        <v>107</v>
      </c>
      <c r="C1" s="5"/>
      <c r="D1" s="65" t="s">
        <v>411</v>
      </c>
      <c r="E1" s="5"/>
      <c r="F1" s="5" t="s">
        <v>254</v>
      </c>
      <c r="G1" s="5"/>
      <c r="H1" s="5" t="s">
        <v>106</v>
      </c>
      <c r="I1" s="5" t="s">
        <v>265</v>
      </c>
      <c r="J1" s="5"/>
      <c r="K1" s="5" t="s">
        <v>264</v>
      </c>
      <c r="L1" s="5" t="s">
        <v>105</v>
      </c>
      <c r="M1" s="5" t="s">
        <v>110</v>
      </c>
      <c r="N1" s="5" t="s">
        <v>112</v>
      </c>
      <c r="P1" s="5" t="s">
        <v>450</v>
      </c>
      <c r="Q1" s="5" t="s">
        <v>453</v>
      </c>
    </row>
    <row r="2" spans="1:17" x14ac:dyDescent="0.2">
      <c r="A2" t="s">
        <v>53</v>
      </c>
      <c r="B2" t="s">
        <v>469</v>
      </c>
      <c r="C2" s="253" t="s">
        <v>460</v>
      </c>
      <c r="D2" s="456">
        <v>0.20399999999999999</v>
      </c>
      <c r="E2" t="s">
        <v>74</v>
      </c>
      <c r="F2" s="253" t="s">
        <v>494</v>
      </c>
      <c r="G2" s="201" t="s">
        <v>255</v>
      </c>
      <c r="H2" s="448">
        <v>0.26</v>
      </c>
      <c r="I2" s="253" t="s">
        <v>494</v>
      </c>
      <c r="J2" s="203" t="s">
        <v>255</v>
      </c>
      <c r="K2" s="448">
        <v>0.26</v>
      </c>
      <c r="L2" t="s">
        <v>97</v>
      </c>
      <c r="M2" s="455">
        <v>1</v>
      </c>
      <c r="N2" s="455">
        <v>1500</v>
      </c>
      <c r="O2" s="253" t="s">
        <v>510</v>
      </c>
      <c r="P2" s="253">
        <v>0</v>
      </c>
      <c r="Q2" s="325">
        <v>47484</v>
      </c>
    </row>
    <row r="3" spans="1:17" x14ac:dyDescent="0.2">
      <c r="A3" t="s">
        <v>57</v>
      </c>
      <c r="B3" t="s">
        <v>470</v>
      </c>
      <c r="C3" s="253" t="s">
        <v>459</v>
      </c>
      <c r="D3" s="456">
        <v>0.20399999999999999</v>
      </c>
      <c r="F3" s="253" t="s">
        <v>495</v>
      </c>
      <c r="G3" s="201" t="s">
        <v>260</v>
      </c>
      <c r="H3" s="448">
        <v>0.34</v>
      </c>
      <c r="I3" s="253" t="s">
        <v>495</v>
      </c>
      <c r="J3" s="203" t="s">
        <v>260</v>
      </c>
      <c r="K3" s="448">
        <v>0.34</v>
      </c>
      <c r="L3" t="s">
        <v>98</v>
      </c>
      <c r="M3" s="455">
        <v>2</v>
      </c>
      <c r="N3" s="455"/>
      <c r="O3" s="253"/>
      <c r="P3" s="325">
        <v>189600</v>
      </c>
    </row>
    <row r="4" spans="1:17" s="332" customFormat="1" x14ac:dyDescent="0.2">
      <c r="B4" t="s">
        <v>46</v>
      </c>
      <c r="C4" s="332" t="s">
        <v>241</v>
      </c>
      <c r="D4" s="456">
        <v>0.20399999999999999</v>
      </c>
      <c r="E4"/>
      <c r="F4" s="253" t="s">
        <v>496</v>
      </c>
      <c r="G4" s="201" t="s">
        <v>256</v>
      </c>
      <c r="H4" s="448">
        <v>0.26</v>
      </c>
      <c r="I4" s="253" t="s">
        <v>496</v>
      </c>
      <c r="J4" s="203" t="s">
        <v>256</v>
      </c>
      <c r="K4" s="448">
        <v>0.26</v>
      </c>
      <c r="L4" t="s">
        <v>99</v>
      </c>
      <c r="M4" s="455">
        <v>3</v>
      </c>
      <c r="N4" s="455"/>
      <c r="O4" s="253"/>
      <c r="P4"/>
      <c r="Q4"/>
    </row>
    <row r="5" spans="1:17" x14ac:dyDescent="0.2">
      <c r="A5" t="s">
        <v>56</v>
      </c>
      <c r="B5" t="s">
        <v>47</v>
      </c>
      <c r="C5" t="s">
        <v>432</v>
      </c>
      <c r="D5" s="456">
        <v>0.13500000000000001</v>
      </c>
      <c r="F5" s="192" t="s">
        <v>261</v>
      </c>
      <c r="G5" s="201" t="s">
        <v>257</v>
      </c>
      <c r="H5" s="448">
        <v>0.35</v>
      </c>
      <c r="I5" s="192" t="s">
        <v>261</v>
      </c>
      <c r="J5" s="203" t="s">
        <v>257</v>
      </c>
      <c r="K5" s="448">
        <v>0.35</v>
      </c>
      <c r="L5" t="s">
        <v>100</v>
      </c>
      <c r="M5" s="455">
        <v>4</v>
      </c>
      <c r="N5" s="455"/>
      <c r="O5" s="253"/>
    </row>
    <row r="6" spans="1:17" x14ac:dyDescent="0.2">
      <c r="A6" t="s">
        <v>55</v>
      </c>
      <c r="C6" t="s">
        <v>70</v>
      </c>
      <c r="D6" s="457">
        <v>0.36299999999999999</v>
      </c>
      <c r="F6" s="192" t="s">
        <v>262</v>
      </c>
      <c r="G6" s="201" t="s">
        <v>258</v>
      </c>
      <c r="H6" s="448">
        <v>0.26</v>
      </c>
      <c r="I6" s="192" t="s">
        <v>262</v>
      </c>
      <c r="J6" s="203" t="s">
        <v>258</v>
      </c>
      <c r="K6" s="448">
        <v>0.26</v>
      </c>
      <c r="L6" t="s">
        <v>101</v>
      </c>
      <c r="M6" s="455">
        <v>5</v>
      </c>
      <c r="N6" s="455"/>
      <c r="O6" s="455"/>
    </row>
    <row r="7" spans="1:17" x14ac:dyDescent="0.2">
      <c r="A7" t="s">
        <v>54</v>
      </c>
      <c r="C7" t="s">
        <v>69</v>
      </c>
      <c r="D7" s="457">
        <v>0.23400000000000001</v>
      </c>
      <c r="F7" s="192" t="s">
        <v>263</v>
      </c>
      <c r="G7" s="201" t="s">
        <v>259</v>
      </c>
      <c r="H7" s="448">
        <v>0.5</v>
      </c>
      <c r="I7" s="192" t="s">
        <v>263</v>
      </c>
      <c r="J7" s="203" t="s">
        <v>259</v>
      </c>
      <c r="K7" s="448">
        <v>0.5</v>
      </c>
      <c r="L7" t="s">
        <v>102</v>
      </c>
    </row>
    <row r="8" spans="1:17" x14ac:dyDescent="0.2">
      <c r="A8" t="s">
        <v>58</v>
      </c>
      <c r="C8" t="s">
        <v>71</v>
      </c>
      <c r="D8" s="457">
        <v>7.6499999999999999E-2</v>
      </c>
    </row>
    <row r="10" spans="1:17" x14ac:dyDescent="0.2">
      <c r="C10" s="253"/>
      <c r="D10" s="26"/>
      <c r="N10" s="204"/>
    </row>
    <row r="12" spans="1:17" x14ac:dyDescent="0.2">
      <c r="C12" s="332"/>
      <c r="D12" s="26"/>
    </row>
  </sheetData>
  <phoneticPr fontId="5"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82"/>
  <sheetViews>
    <sheetView workbookViewId="0"/>
  </sheetViews>
  <sheetFormatPr defaultRowHeight="12.75" x14ac:dyDescent="0.2"/>
  <cols>
    <col min="1" max="1" width="31.28515625" style="194" customWidth="1"/>
    <col min="2" max="2" width="70" style="193" customWidth="1"/>
  </cols>
  <sheetData>
    <row r="1" spans="1:2" s="191" customFormat="1" x14ac:dyDescent="0.2">
      <c r="A1" s="195" t="s">
        <v>252</v>
      </c>
      <c r="B1" s="196"/>
    </row>
    <row r="2" spans="1:2" s="191" customFormat="1" x14ac:dyDescent="0.2">
      <c r="A2" s="197"/>
      <c r="B2" s="196"/>
    </row>
    <row r="3" spans="1:2" x14ac:dyDescent="0.2">
      <c r="A3" s="195" t="str">
        <f>'Personnel Yr 1'!B5</f>
        <v>A. Senior/Key Person</v>
      </c>
      <c r="B3" s="198" t="s">
        <v>251</v>
      </c>
    </row>
    <row r="4" spans="1:2" ht="26.45" customHeight="1" x14ac:dyDescent="0.2">
      <c r="A4" s="197" t="str">
        <f>'Personnel Yr 1'!A7 &amp; ". " &amp; 'Personnel Yr 1'!C7 &amp; " " &amp; 'Personnel Yr 1'!E7</f>
        <v xml:space="preserve">1.  </v>
      </c>
      <c r="B4" s="199">
        <f>'Personnel Yr 1'!O7</f>
        <v>0</v>
      </c>
    </row>
    <row r="5" spans="1:2" ht="26.45" customHeight="1" x14ac:dyDescent="0.2">
      <c r="A5" s="197" t="str">
        <f>'Personnel Yr 1'!A8 &amp; ". " &amp; 'Personnel Yr 1'!C8 &amp; " " &amp; 'Personnel Yr 1'!E8</f>
        <v xml:space="preserve">2.  </v>
      </c>
      <c r="B5" s="200">
        <f>'Personnel Yr 1'!O8</f>
        <v>0</v>
      </c>
    </row>
    <row r="6" spans="1:2" ht="26.45" customHeight="1" x14ac:dyDescent="0.2">
      <c r="A6" s="197" t="str">
        <f>'Personnel Yr 1'!A9 &amp; ". " &amp; 'Personnel Yr 1'!C9 &amp; " " &amp; 'Personnel Yr 1'!E9</f>
        <v xml:space="preserve">3.  </v>
      </c>
      <c r="B6" s="200">
        <f>'Personnel Yr 1'!O9</f>
        <v>0</v>
      </c>
    </row>
    <row r="7" spans="1:2" ht="26.45" customHeight="1" x14ac:dyDescent="0.2">
      <c r="A7" s="197" t="str">
        <f>'Personnel Yr 1'!A10 &amp; ". " &amp; 'Personnel Yr 1'!C10 &amp; " " &amp; 'Personnel Yr 1'!E10</f>
        <v xml:space="preserve">4.  </v>
      </c>
      <c r="B7" s="200">
        <f>'Personnel Yr 1'!O10</f>
        <v>0</v>
      </c>
    </row>
    <row r="8" spans="1:2" ht="26.45" customHeight="1" x14ac:dyDescent="0.2">
      <c r="A8" s="197" t="str">
        <f>'Personnel Yr 1'!A11 &amp; ". " &amp; 'Personnel Yr 1'!C11 &amp; " " &amp; 'Personnel Yr 1'!E11</f>
        <v xml:space="preserve">5.  </v>
      </c>
      <c r="B8" s="200">
        <f>'Personnel Yr 1'!O11</f>
        <v>0</v>
      </c>
    </row>
    <row r="9" spans="1:2" ht="26.45" customHeight="1" x14ac:dyDescent="0.2">
      <c r="A9" s="197" t="str">
        <f>'Personnel Yr 1'!A12 &amp; ". " &amp; 'Personnel Yr 1'!C12 &amp; " " &amp; 'Personnel Yr 1'!E12</f>
        <v xml:space="preserve">6.  </v>
      </c>
      <c r="B9" s="200">
        <f>'Personnel Yr 1'!O12</f>
        <v>0</v>
      </c>
    </row>
    <row r="10" spans="1:2" ht="26.45" customHeight="1" x14ac:dyDescent="0.2">
      <c r="A10" s="197" t="str">
        <f>'Personnel Yr 1'!A13 &amp; ". " &amp; 'Personnel Yr 1'!C13 &amp; " " &amp; 'Personnel Yr 1'!E13</f>
        <v xml:space="preserve">7.  </v>
      </c>
      <c r="B10" s="200">
        <f>'Personnel Yr 1'!O13</f>
        <v>0</v>
      </c>
    </row>
    <row r="11" spans="1:2" ht="26.45" customHeight="1" x14ac:dyDescent="0.2">
      <c r="A11" s="197" t="str">
        <f>'Personnel Yr 1'!A14 &amp; ". " &amp; 'Personnel Yr 1'!C14 &amp; " " &amp; 'Personnel Yr 1'!E14</f>
        <v xml:space="preserve">8.  </v>
      </c>
      <c r="B11" s="200">
        <f>'Personnel Yr 1'!O14</f>
        <v>0</v>
      </c>
    </row>
    <row r="12" spans="1:2" x14ac:dyDescent="0.2">
      <c r="A12" s="197"/>
      <c r="B12" s="200"/>
    </row>
    <row r="13" spans="1:2" x14ac:dyDescent="0.2">
      <c r="A13" s="195" t="str">
        <f>'Personnel Yr 1'!B42</f>
        <v>9. Additional Senior/Key Personnel</v>
      </c>
      <c r="B13" s="198" t="s">
        <v>251</v>
      </c>
    </row>
    <row r="14" spans="1:2" ht="26.45" customHeight="1" x14ac:dyDescent="0.2">
      <c r="A14" s="197" t="str">
        <f>'Personnel Yr 1'!A44 &amp; ". " &amp; 'Personnel Yr 1'!C44 &amp; " " &amp; 'Personnel Yr 1'!E44</f>
        <v xml:space="preserve">1.  </v>
      </c>
      <c r="B14" s="200">
        <f>'Personnel Yr 1'!O44</f>
        <v>0</v>
      </c>
    </row>
    <row r="15" spans="1:2" ht="26.45" customHeight="1" x14ac:dyDescent="0.2">
      <c r="A15" s="197" t="str">
        <f>'Personnel Yr 1'!A45 &amp; ". " &amp; 'Personnel Yr 1'!C45 &amp; " " &amp; 'Personnel Yr 1'!E45</f>
        <v xml:space="preserve">2.  </v>
      </c>
      <c r="B15" s="200">
        <f>'Personnel Yr 1'!O45</f>
        <v>0</v>
      </c>
    </row>
    <row r="16" spans="1:2" ht="26.45" customHeight="1" x14ac:dyDescent="0.2">
      <c r="A16" s="197" t="str">
        <f>'Personnel Yr 1'!A46 &amp; ". " &amp; 'Personnel Yr 1'!C46 &amp; " " &amp; 'Personnel Yr 1'!E46</f>
        <v xml:space="preserve">3.  </v>
      </c>
      <c r="B16" s="200">
        <f>'Personnel Yr 1'!O46</f>
        <v>0</v>
      </c>
    </row>
    <row r="17" spans="1:2" ht="26.45" customHeight="1" x14ac:dyDescent="0.2">
      <c r="A17" s="197" t="str">
        <f>'Personnel Yr 1'!A47 &amp; ". " &amp; 'Personnel Yr 1'!C47 &amp; " " &amp; 'Personnel Yr 1'!E47</f>
        <v xml:space="preserve">4.  </v>
      </c>
      <c r="B17" s="200">
        <f>'Personnel Yr 1'!O47</f>
        <v>0</v>
      </c>
    </row>
    <row r="18" spans="1:2" ht="26.45" customHeight="1" x14ac:dyDescent="0.2">
      <c r="A18" s="197" t="str">
        <f>'Personnel Yr 1'!A48 &amp; ". " &amp; 'Personnel Yr 1'!C48 &amp; " " &amp; 'Personnel Yr 1'!E48</f>
        <v xml:space="preserve">5.  </v>
      </c>
      <c r="B18" s="200">
        <f>'Personnel Yr 1'!O48</f>
        <v>0</v>
      </c>
    </row>
    <row r="19" spans="1:2" ht="26.45" customHeight="1" x14ac:dyDescent="0.2">
      <c r="A19" s="197" t="str">
        <f>'Personnel Yr 1'!A49 &amp; ". " &amp; 'Personnel Yr 1'!C49 &amp; " " &amp; 'Personnel Yr 1'!E49</f>
        <v xml:space="preserve">6.  </v>
      </c>
      <c r="B19" s="200">
        <f>'Personnel Yr 1'!O49</f>
        <v>0</v>
      </c>
    </row>
    <row r="20" spans="1:2" ht="26.45" customHeight="1" x14ac:dyDescent="0.2">
      <c r="A20" s="197" t="str">
        <f>'Personnel Yr 1'!A50 &amp; ". " &amp; 'Personnel Yr 1'!C50 &amp; " " &amp; 'Personnel Yr 1'!E50</f>
        <v xml:space="preserve">7.  </v>
      </c>
      <c r="B20" s="200">
        <f>'Personnel Yr 1'!O50</f>
        <v>0</v>
      </c>
    </row>
    <row r="21" spans="1:2" ht="26.45" customHeight="1" x14ac:dyDescent="0.2">
      <c r="A21" s="197" t="str">
        <f>'Personnel Yr 1'!A51 &amp; ". " &amp; 'Personnel Yr 1'!C51 &amp; " " &amp; 'Personnel Yr 1'!E51</f>
        <v xml:space="preserve">8.  </v>
      </c>
      <c r="B21" s="200">
        <f>'Personnel Yr 1'!O51</f>
        <v>0</v>
      </c>
    </row>
    <row r="22" spans="1:2" ht="26.45" customHeight="1" x14ac:dyDescent="0.2">
      <c r="A22" s="197" t="str">
        <f>'Personnel Yr 1'!A52 &amp; ". " &amp; 'Personnel Yr 1'!C52 &amp; " " &amp; 'Personnel Yr 1'!E52</f>
        <v xml:space="preserve">9.  </v>
      </c>
      <c r="B22" s="200">
        <f>'Personnel Yr 1'!O52</f>
        <v>0</v>
      </c>
    </row>
    <row r="23" spans="1:2" ht="26.45" customHeight="1" x14ac:dyDescent="0.2">
      <c r="A23" s="197" t="str">
        <f>'Personnel Yr 1'!A53 &amp; ". " &amp; 'Personnel Yr 1'!C53 &amp; " " &amp; 'Personnel Yr 1'!E53</f>
        <v xml:space="preserve">10.  </v>
      </c>
      <c r="B23" s="200">
        <f>'Personnel Yr 1'!O53</f>
        <v>0</v>
      </c>
    </row>
    <row r="24" spans="1:2" ht="26.45" customHeight="1" x14ac:dyDescent="0.2">
      <c r="A24" s="197" t="str">
        <f>'Personnel Yr 1'!A54 &amp; ". " &amp; 'Personnel Yr 1'!C54 &amp; " " &amp; 'Personnel Yr 1'!E54</f>
        <v xml:space="preserve">11.  </v>
      </c>
      <c r="B24" s="200">
        <f>'Personnel Yr 1'!O54</f>
        <v>0</v>
      </c>
    </row>
    <row r="25" spans="1:2" ht="26.45" customHeight="1" x14ac:dyDescent="0.2">
      <c r="A25" s="197" t="str">
        <f>'Personnel Yr 1'!A55 &amp; ". " &amp; 'Personnel Yr 1'!C55 &amp; " " &amp; 'Personnel Yr 1'!E55</f>
        <v xml:space="preserve">12.  </v>
      </c>
      <c r="B25" s="200">
        <f>'Personnel Yr 1'!O55</f>
        <v>0</v>
      </c>
    </row>
    <row r="26" spans="1:2" ht="26.45" customHeight="1" x14ac:dyDescent="0.2">
      <c r="A26" s="197" t="str">
        <f>'Personnel Yr 1'!A56 &amp; ". " &amp; 'Personnel Yr 1'!C56 &amp; " " &amp; 'Personnel Yr 1'!E56</f>
        <v xml:space="preserve">13.  </v>
      </c>
      <c r="B26" s="200">
        <f>'Personnel Yr 1'!O56</f>
        <v>0</v>
      </c>
    </row>
    <row r="27" spans="1:2" ht="26.45" customHeight="1" x14ac:dyDescent="0.2">
      <c r="A27" s="197" t="str">
        <f>'Personnel Yr 1'!A57 &amp; ". " &amp; 'Personnel Yr 1'!C57 &amp; " " &amp; 'Personnel Yr 1'!E57</f>
        <v xml:space="preserve">14.  </v>
      </c>
      <c r="B27" s="200">
        <f>'Personnel Yr 1'!O57</f>
        <v>0</v>
      </c>
    </row>
    <row r="28" spans="1:2" ht="26.45" customHeight="1" x14ac:dyDescent="0.2">
      <c r="A28" s="197" t="str">
        <f>'Personnel Yr 1'!A58 &amp; ". " &amp; 'Personnel Yr 1'!C58 &amp; " " &amp; 'Personnel Yr 1'!E58</f>
        <v xml:space="preserve">15.  </v>
      </c>
      <c r="B28" s="200">
        <f>'Personnel Yr 1'!O58</f>
        <v>0</v>
      </c>
    </row>
    <row r="29" spans="1:2" x14ac:dyDescent="0.2">
      <c r="A29" s="197"/>
      <c r="B29" s="200"/>
    </row>
    <row r="30" spans="1:2" x14ac:dyDescent="0.2">
      <c r="A30" s="197" t="str">
        <f>'Personnel Yr 1'!B19</f>
        <v>B. Other Personnel</v>
      </c>
      <c r="B30" s="200" t="s">
        <v>251</v>
      </c>
    </row>
    <row r="31" spans="1:2" x14ac:dyDescent="0.2">
      <c r="A31" s="197" t="str">
        <f>"1. " &amp; 'Personnel Yr 1'!C21</f>
        <v>1. Post Doctoral Associates</v>
      </c>
      <c r="B31" s="254">
        <f>'Personnel Yr 1'!O21</f>
        <v>0</v>
      </c>
    </row>
    <row r="32" spans="1:2" x14ac:dyDescent="0.2">
      <c r="A32" s="197" t="str">
        <f>"2. " &amp; 'Personnel Yr 1'!C22</f>
        <v>2. Other Professional</v>
      </c>
      <c r="B32" s="254">
        <f>'Personnel Yr 1'!O22</f>
        <v>0</v>
      </c>
    </row>
    <row r="33" spans="1:2" x14ac:dyDescent="0.2">
      <c r="A33" s="197" t="str">
        <f>"3. " &amp; 'Personnel Yr 1'!C23</f>
        <v>3. Graduate Students</v>
      </c>
      <c r="B33" s="254">
        <f>'Personnel Yr 1'!O23</f>
        <v>0</v>
      </c>
    </row>
    <row r="34" spans="1:2" x14ac:dyDescent="0.2">
      <c r="A34" s="197" t="str">
        <f>"4. " &amp; 'Personnel Yr 1'!C24</f>
        <v>4. Undergraduate Students</v>
      </c>
      <c r="B34" s="254">
        <f>'Personnel Yr 1'!O24</f>
        <v>0</v>
      </c>
    </row>
    <row r="35" spans="1:2" x14ac:dyDescent="0.2">
      <c r="A35" s="197" t="str">
        <f>"5. " &amp; 'Personnel Yr 1'!C25</f>
        <v>5. Lab/ Technical Project Manager (Staff)</v>
      </c>
      <c r="B35" s="254">
        <f>'Personnel Yr 1'!O25</f>
        <v>0</v>
      </c>
    </row>
    <row r="36" spans="1:2" x14ac:dyDescent="0.2">
      <c r="A36" s="197" t="str">
        <f>"6. " &amp; 'Personnel Yr 1'!C26</f>
        <v>6. Other (Temp, wages)</v>
      </c>
      <c r="B36" s="254">
        <f>'Personnel Yr 1'!O26</f>
        <v>0</v>
      </c>
    </row>
    <row r="37" spans="1:2" s="259" customFormat="1" x14ac:dyDescent="0.2">
      <c r="A37" s="197" t="str">
        <f>"7. " &amp; 'Personnel Yr 1'!C27</f>
        <v>7. Extra Service &amp; Overload</v>
      </c>
      <c r="B37" s="254">
        <f>'Personnel Yr 1'!O27</f>
        <v>0</v>
      </c>
    </row>
    <row r="38" spans="1:2" s="259" customFormat="1" x14ac:dyDescent="0.2">
      <c r="A38" s="197" t="str">
        <f>"8. " &amp; 'Personnel Yr 1'!C28</f>
        <v>8. Adjunct Faculty</v>
      </c>
      <c r="B38" s="254">
        <f>'Personnel Yr 1'!O28</f>
        <v>0</v>
      </c>
    </row>
    <row r="39" spans="1:2" x14ac:dyDescent="0.2">
      <c r="A39" s="197"/>
      <c r="B39" s="200"/>
    </row>
    <row r="40" spans="1:2" x14ac:dyDescent="0.2">
      <c r="A40" s="197" t="str">
        <f>'Non-personnel'!B4</f>
        <v>C. Equipment Description</v>
      </c>
      <c r="B40" s="200" t="s">
        <v>251</v>
      </c>
    </row>
    <row r="41" spans="1:2" x14ac:dyDescent="0.2">
      <c r="A41" s="197" t="str">
        <f>'Non-personnel'!A7 &amp; ". " &amp; 'Non-personnel'!B7</f>
        <v xml:space="preserve">1. </v>
      </c>
      <c r="B41" s="200">
        <f>'Non-personnel'!T7</f>
        <v>0</v>
      </c>
    </row>
    <row r="42" spans="1:2" x14ac:dyDescent="0.2">
      <c r="A42" s="197" t="str">
        <f>'Non-personnel'!A8 &amp; ". " &amp; 'Non-personnel'!B8</f>
        <v xml:space="preserve">2. </v>
      </c>
      <c r="B42" s="200">
        <f>'Non-personnel'!T8</f>
        <v>0</v>
      </c>
    </row>
    <row r="43" spans="1:2" x14ac:dyDescent="0.2">
      <c r="A43" s="197" t="str">
        <f>'Non-personnel'!A9 &amp; ". " &amp; 'Non-personnel'!B9</f>
        <v xml:space="preserve">3. </v>
      </c>
      <c r="B43" s="200">
        <f>'Non-personnel'!T9</f>
        <v>0</v>
      </c>
    </row>
    <row r="44" spans="1:2" x14ac:dyDescent="0.2">
      <c r="A44" s="197" t="str">
        <f>'Non-personnel'!A10 &amp; ". " &amp; 'Non-personnel'!B10</f>
        <v xml:space="preserve">4. </v>
      </c>
      <c r="B44" s="200">
        <f>'Non-personnel'!T10</f>
        <v>0</v>
      </c>
    </row>
    <row r="45" spans="1:2" x14ac:dyDescent="0.2">
      <c r="A45" s="197" t="str">
        <f>'Non-personnel'!A11 &amp; ". " &amp; 'Non-personnel'!B11</f>
        <v xml:space="preserve">5. </v>
      </c>
      <c r="B45" s="200">
        <f>'Non-personnel'!T11</f>
        <v>0</v>
      </c>
    </row>
    <row r="46" spans="1:2" x14ac:dyDescent="0.2">
      <c r="A46" s="197" t="str">
        <f>'Non-personnel'!A12 &amp; ". " &amp; 'Non-personnel'!B12</f>
        <v xml:space="preserve">6. </v>
      </c>
      <c r="B46" s="200">
        <f>'Non-personnel'!T12</f>
        <v>0</v>
      </c>
    </row>
    <row r="47" spans="1:2" x14ac:dyDescent="0.2">
      <c r="A47" s="197" t="str">
        <f>'Non-personnel'!A13 &amp; ". " &amp; 'Non-personnel'!B13</f>
        <v xml:space="preserve">7. </v>
      </c>
      <c r="B47" s="200">
        <f>'Non-personnel'!T13</f>
        <v>0</v>
      </c>
    </row>
    <row r="48" spans="1:2" x14ac:dyDescent="0.2">
      <c r="A48" s="197" t="str">
        <f>'Non-personnel'!A14 &amp; ". " &amp; 'Non-personnel'!B14</f>
        <v xml:space="preserve">8. </v>
      </c>
      <c r="B48" s="200">
        <f>'Non-personnel'!T14</f>
        <v>0</v>
      </c>
    </row>
    <row r="49" spans="1:2" x14ac:dyDescent="0.2">
      <c r="A49" s="197"/>
      <c r="B49" s="200"/>
    </row>
    <row r="50" spans="1:2" x14ac:dyDescent="0.2">
      <c r="A50" s="197"/>
      <c r="B50" s="196"/>
    </row>
    <row r="51" spans="1:2" x14ac:dyDescent="0.2">
      <c r="A51" s="197" t="str">
        <f>'Non-personnel'!B17</f>
        <v>D. Travel</v>
      </c>
      <c r="B51" s="200" t="s">
        <v>251</v>
      </c>
    </row>
    <row r="52" spans="1:2" x14ac:dyDescent="0.2">
      <c r="A52" s="197" t="str">
        <f>'Non-personnel'!A19 &amp; ". " &amp; 'Non-personnel'!B19</f>
        <v>1. Domestic Travel Costs(Incl. Canada, Mexico and U.S. Possessions)</v>
      </c>
      <c r="B52" s="200">
        <f>'Non-personnel'!T19</f>
        <v>0</v>
      </c>
    </row>
    <row r="53" spans="1:2" x14ac:dyDescent="0.2">
      <c r="A53" s="197" t="str">
        <f>'Non-personnel'!A20 &amp; ". " &amp; 'Non-personnel'!B20</f>
        <v>2. Foreign Travel Costs</v>
      </c>
      <c r="B53" s="200">
        <f>'Non-personnel'!T20</f>
        <v>0</v>
      </c>
    </row>
    <row r="54" spans="1:2" x14ac:dyDescent="0.2">
      <c r="A54" s="197"/>
      <c r="B54" s="196"/>
    </row>
    <row r="55" spans="1:2" x14ac:dyDescent="0.2">
      <c r="A55" s="197" t="str">
        <f>'Non-personnel'!B23</f>
        <v>E. Participant/Trainee Support Costs</v>
      </c>
      <c r="B55" s="200" t="s">
        <v>251</v>
      </c>
    </row>
    <row r="56" spans="1:2" x14ac:dyDescent="0.2">
      <c r="A56" s="197" t="str">
        <f>'Non-personnel'!A25 &amp; ". " &amp; 'Non-personnel'!B25</f>
        <v>1. Stipends</v>
      </c>
      <c r="B56" s="200">
        <f>'Non-personnel'!T25</f>
        <v>0</v>
      </c>
    </row>
    <row r="57" spans="1:2" x14ac:dyDescent="0.2">
      <c r="A57" s="197" t="str">
        <f>'Non-personnel'!A26 &amp; ". " &amp; 'Non-personnel'!B26</f>
        <v>2. Travel</v>
      </c>
      <c r="B57" s="200">
        <f>'Non-personnel'!T26</f>
        <v>0</v>
      </c>
    </row>
    <row r="58" spans="1:2" x14ac:dyDescent="0.2">
      <c r="A58" s="197" t="str">
        <f>'Non-personnel'!A27 &amp; ". " &amp; 'Non-personnel'!B27</f>
        <v>3. Subsistence</v>
      </c>
      <c r="B58" s="200">
        <f>'Non-personnel'!T27</f>
        <v>0</v>
      </c>
    </row>
    <row r="59" spans="1:2" x14ac:dyDescent="0.2">
      <c r="A59" s="197" t="str">
        <f>'Non-personnel'!A28 &amp; ". " &amp; 'Non-personnel'!B28</f>
        <v>4. Other</v>
      </c>
      <c r="B59" s="200">
        <f>'Non-personnel'!T28</f>
        <v>0</v>
      </c>
    </row>
    <row r="60" spans="1:2" x14ac:dyDescent="0.2">
      <c r="A60" s="197"/>
      <c r="B60" s="200"/>
    </row>
    <row r="61" spans="1:2" x14ac:dyDescent="0.2">
      <c r="A61" s="197" t="str">
        <f>'Non-personnel'!B32</f>
        <v>F. Other Direct Costs</v>
      </c>
      <c r="B61" s="200" t="s">
        <v>251</v>
      </c>
    </row>
    <row r="62" spans="1:2" x14ac:dyDescent="0.2">
      <c r="A62" s="197" t="str">
        <f>'Non-personnel'!A34 &amp; ". " &amp; 'Non-personnel'!B34</f>
        <v>1. Materials and Supplies</v>
      </c>
      <c r="B62" s="200">
        <f>'Non-personnel'!T34</f>
        <v>0</v>
      </c>
    </row>
    <row r="63" spans="1:2" x14ac:dyDescent="0.2">
      <c r="A63" s="197" t="str">
        <f>'Non-personnel'!A35 &amp; ". " &amp; 'Non-personnel'!B35</f>
        <v>2. Publication Costs</v>
      </c>
      <c r="B63" s="200">
        <f>'Non-personnel'!T35</f>
        <v>0</v>
      </c>
    </row>
    <row r="64" spans="1:2" x14ac:dyDescent="0.2">
      <c r="A64" s="197" t="str">
        <f>'Non-personnel'!A36 &amp; ". " &amp; 'Non-personnel'!B36</f>
        <v>3. Consultant Services</v>
      </c>
      <c r="B64" s="200">
        <f>'Non-personnel'!T36</f>
        <v>0</v>
      </c>
    </row>
    <row r="65" spans="1:2" x14ac:dyDescent="0.2">
      <c r="A65" s="197" t="str">
        <f>'Non-personnel'!A37 &amp; ". " &amp; 'Non-personnel'!B37</f>
        <v>4. Purchased Services</v>
      </c>
      <c r="B65" s="200">
        <f>'Non-personnel'!T37</f>
        <v>0</v>
      </c>
    </row>
    <row r="66" spans="1:2" x14ac:dyDescent="0.2">
      <c r="A66" s="197" t="str">
        <f>'Non-personnel'!A38 &amp; ". " &amp; 'Non-personnel'!B38</f>
        <v>5. Subawards/Consortium/Contractual Costs (Fill in Below)</v>
      </c>
      <c r="B66" s="200">
        <f>'Non-personnel'!T38</f>
        <v>0</v>
      </c>
    </row>
    <row r="67" spans="1:2" x14ac:dyDescent="0.2">
      <c r="A67" s="197" t="str">
        <f>'Non-personnel'!A39 &amp; ". " &amp; 'Non-personnel'!B39</f>
        <v>5. Rental/Lease of Non-SU Off-site Facilities</v>
      </c>
      <c r="B67" s="200">
        <f>'Non-personnel'!T39</f>
        <v>0</v>
      </c>
    </row>
    <row r="68" spans="1:2" x14ac:dyDescent="0.2">
      <c r="A68" s="197" t="str">
        <f>'Non-personnel'!A40 &amp; ". " &amp; 'Non-personnel'!B40</f>
        <v>6. Alterations</v>
      </c>
      <c r="B68" s="200">
        <f>'Non-personnel'!T40</f>
        <v>0</v>
      </c>
    </row>
    <row r="69" spans="1:2" x14ac:dyDescent="0.2">
      <c r="A69" s="197" t="str">
        <f>'Non-personnel'!A41 &amp; ". " &amp; 'Non-personnel'!B41</f>
        <v>7. Tuition - Remitted</v>
      </c>
      <c r="B69" s="200">
        <f>'Non-personnel'!T41</f>
        <v>0</v>
      </c>
    </row>
    <row r="70" spans="1:2" s="259" customFormat="1" x14ac:dyDescent="0.2">
      <c r="A70" s="197" t="str">
        <f>'Non-personnel'!A42 &amp; ". " &amp; 'Non-personnel'!B42</f>
        <v>8. Tuition - Scholarship</v>
      </c>
      <c r="B70" s="200">
        <f>'Non-personnel'!T42</f>
        <v>0</v>
      </c>
    </row>
    <row r="71" spans="1:2" s="259" customFormat="1" x14ac:dyDescent="0.2">
      <c r="A71" s="197" t="str">
        <f>'Non-personnel'!A43 &amp; ". " &amp; 'Non-personnel'!B43</f>
        <v>7. Human Subject</v>
      </c>
      <c r="B71" s="200">
        <f>'Non-personnel'!T43</f>
        <v>0</v>
      </c>
    </row>
    <row r="72" spans="1:2" x14ac:dyDescent="0.2">
      <c r="A72" s="197" t="str">
        <f>'Non-personnel'!A44 &amp; ". " &amp; 'Non-personnel'!B44</f>
        <v>8. Other - Describe</v>
      </c>
      <c r="B72" s="200">
        <f>'Non-personnel'!T44</f>
        <v>0</v>
      </c>
    </row>
    <row r="73" spans="1:2" x14ac:dyDescent="0.2">
      <c r="A73" s="197" t="str">
        <f>'Non-personnel'!A45 &amp; ". " &amp; 'Non-personnel'!B45</f>
        <v>9. Other - Describe</v>
      </c>
      <c r="B73" s="200">
        <f>'Non-personnel'!T45</f>
        <v>0</v>
      </c>
    </row>
    <row r="74" spans="1:2" s="259" customFormat="1" x14ac:dyDescent="0.2">
      <c r="A74" s="197" t="str">
        <f>'Non-personnel'!A46 &amp; ". " &amp; 'Non-personnel'!B46</f>
        <v>10. Other - Describe</v>
      </c>
      <c r="B74" s="200">
        <f>'Non-personnel'!T46</f>
        <v>0</v>
      </c>
    </row>
    <row r="75" spans="1:2" s="259" customFormat="1" x14ac:dyDescent="0.2">
      <c r="A75" s="197" t="str">
        <f>'Non-personnel'!A47 &amp; ". " &amp; 'Non-personnel'!B47</f>
        <v>11. Other - Describe</v>
      </c>
      <c r="B75" s="200">
        <f>'Non-personnel'!T47</f>
        <v>0</v>
      </c>
    </row>
    <row r="76" spans="1:2" x14ac:dyDescent="0.2">
      <c r="A76" s="197"/>
      <c r="B76" s="196"/>
    </row>
    <row r="77" spans="1:2" x14ac:dyDescent="0.2">
      <c r="A77" s="197" t="str">
        <f>'Non-personnel'!B54</f>
        <v>H. Facilities and Administration Costs (i.e. Indirect Costs)</v>
      </c>
      <c r="B77" s="200" t="s">
        <v>251</v>
      </c>
    </row>
    <row r="78" spans="1:2" x14ac:dyDescent="0.2">
      <c r="A78" s="197" t="str">
        <f>'Non-personnel'!A57 &amp; ". " &amp; 'Non-personnel'!B57</f>
        <v>1. MTDC-NonFed</v>
      </c>
      <c r="B78" s="200">
        <f>'Non-personnel'!T57</f>
        <v>0</v>
      </c>
    </row>
    <row r="79" spans="1:2" x14ac:dyDescent="0.2">
      <c r="A79" s="197" t="str">
        <f>'Non-personnel'!A58 &amp; ". " &amp; 'Non-personnel'!B58</f>
        <v>2. MTDC-NonFed</v>
      </c>
      <c r="B79" s="200">
        <f>'Non-personnel'!T58</f>
        <v>0</v>
      </c>
    </row>
    <row r="80" spans="1:2" x14ac:dyDescent="0.2">
      <c r="A80" s="197" t="str">
        <f>'Non-personnel'!A59 &amp; ". " &amp; 'Non-personnel'!B59</f>
        <v>3. MTDC-NonFed</v>
      </c>
      <c r="B80" s="200">
        <f>'Non-personnel'!T59</f>
        <v>0</v>
      </c>
    </row>
    <row r="81" spans="1:2" x14ac:dyDescent="0.2">
      <c r="A81" s="197" t="str">
        <f>'Non-personnel'!A60 &amp; ". " &amp; 'Non-personnel'!B60</f>
        <v>4. MTDC-NonFed</v>
      </c>
      <c r="B81" s="200">
        <f>'Non-personnel'!T60</f>
        <v>0</v>
      </c>
    </row>
    <row r="82" spans="1:2" x14ac:dyDescent="0.2">
      <c r="A82" s="197" t="str">
        <f>'Non-personnel'!A61 &amp; ". " &amp; 'Non-personnel'!B61</f>
        <v>5. MTDC-NonFed</v>
      </c>
      <c r="B82" s="200">
        <f>'Non-personnel'!T61</f>
        <v>0</v>
      </c>
    </row>
  </sheetData>
  <sheetProtection algorithmName="SHA-512" hashValue="1UWl6jh24G56/o5N3AM7O9DLDdYrCkmAyBKTwsOwvMO2xl5kQHDHJaLRx79COH97owid1MmmXOgWQaLMqDJQQA==" saltValue="J+y/HtO9Z2lPmeiy9OJ95Q==" spinCount="100000" sheet="1" objects="1" scenarios="1"/>
  <pageMargins left="0.25" right="0.25" top="0.5" bottom="0.5" header="0.3" footer="0.3"/>
  <pageSetup orientation="portrait" verticalDpi="0" r:id="rId1"/>
  <rowBreaks count="1" manualBreakCount="1">
    <brk id="29" max="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49"/>
  <sheetViews>
    <sheetView workbookViewId="0">
      <selection sqref="A1:H1"/>
    </sheetView>
  </sheetViews>
  <sheetFormatPr defaultColWidth="8.85546875" defaultRowHeight="12.75" x14ac:dyDescent="0.2"/>
  <cols>
    <col min="1" max="1" width="4.7109375" style="205" customWidth="1"/>
    <col min="2" max="8" width="17.5703125" style="205" customWidth="1"/>
    <col min="9" max="16384" width="8.85546875" style="205"/>
  </cols>
  <sheetData>
    <row r="1" spans="1:8" ht="15.75" x14ac:dyDescent="0.2">
      <c r="A1" s="879" t="s">
        <v>340</v>
      </c>
      <c r="B1" s="879"/>
      <c r="C1" s="879"/>
      <c r="D1" s="879"/>
      <c r="E1" s="879"/>
      <c r="F1" s="879"/>
      <c r="G1" s="879"/>
      <c r="H1" s="879"/>
    </row>
    <row r="2" spans="1:8" x14ac:dyDescent="0.2">
      <c r="A2" s="869" t="s">
        <v>296</v>
      </c>
      <c r="B2" s="869"/>
      <c r="C2" s="869"/>
      <c r="D2" s="869"/>
      <c r="E2" s="869"/>
      <c r="F2" s="869"/>
      <c r="G2" s="869"/>
      <c r="H2" s="869"/>
    </row>
    <row r="3" spans="1:8" ht="26.45" customHeight="1" x14ac:dyDescent="0.2">
      <c r="A3" s="210"/>
      <c r="B3" s="867" t="s">
        <v>292</v>
      </c>
      <c r="C3" s="867" t="s">
        <v>289</v>
      </c>
      <c r="D3" s="867" t="s">
        <v>282</v>
      </c>
      <c r="E3" s="868"/>
      <c r="F3" s="867" t="s">
        <v>283</v>
      </c>
      <c r="G3" s="868"/>
      <c r="H3" s="868"/>
    </row>
    <row r="4" spans="1:8" ht="26.45" customHeight="1" x14ac:dyDescent="0.2">
      <c r="A4" s="210"/>
      <c r="B4" s="867"/>
      <c r="C4" s="867"/>
      <c r="D4" s="213" t="s">
        <v>284</v>
      </c>
      <c r="E4" s="213" t="s">
        <v>285</v>
      </c>
      <c r="F4" s="213" t="s">
        <v>286</v>
      </c>
      <c r="G4" s="213" t="s">
        <v>287</v>
      </c>
      <c r="H4" s="213" t="s">
        <v>288</v>
      </c>
    </row>
    <row r="5" spans="1:8" ht="26.45" customHeight="1" x14ac:dyDescent="0.2">
      <c r="A5" s="212" t="s">
        <v>278</v>
      </c>
      <c r="B5" s="219"/>
      <c r="C5" s="219"/>
      <c r="D5" s="218"/>
      <c r="E5" s="218"/>
      <c r="F5" s="208">
        <f>IF(OR('Personnel Yr 1'!N5="Federal - NIH", 'Personnel Yr 1'!N5="Federal - Other"),D23,0)</f>
        <v>0</v>
      </c>
      <c r="G5" s="208">
        <f>IF(AND('Personnel Yr 1'!N5&lt;&gt;"Federal - NIH",'Personnel Yr 1'!N5&lt;&gt;"Federal - Other"),D23,0)</f>
        <v>0</v>
      </c>
      <c r="H5" s="208">
        <f>SUM(D5:G5)</f>
        <v>0</v>
      </c>
    </row>
    <row r="6" spans="1:8" ht="26.45" customHeight="1" x14ac:dyDescent="0.2">
      <c r="A6" s="212" t="s">
        <v>279</v>
      </c>
      <c r="B6" s="219"/>
      <c r="C6" s="219"/>
      <c r="D6" s="218"/>
      <c r="E6" s="218"/>
      <c r="F6" s="218"/>
      <c r="G6" s="218"/>
      <c r="H6" s="208">
        <f t="shared" ref="H6:H8" si="0">SUM(D6:G6)</f>
        <v>0</v>
      </c>
    </row>
    <row r="7" spans="1:8" ht="26.45" customHeight="1" x14ac:dyDescent="0.2">
      <c r="A7" s="212" t="s">
        <v>280</v>
      </c>
      <c r="B7" s="219"/>
      <c r="C7" s="219"/>
      <c r="D7" s="218"/>
      <c r="E7" s="218"/>
      <c r="F7" s="218"/>
      <c r="G7" s="218"/>
      <c r="H7" s="208">
        <f t="shared" si="0"/>
        <v>0</v>
      </c>
    </row>
    <row r="8" spans="1:8" ht="26.45" customHeight="1" x14ac:dyDescent="0.2">
      <c r="A8" s="212" t="s">
        <v>281</v>
      </c>
      <c r="B8" s="219"/>
      <c r="C8" s="219"/>
      <c r="D8" s="218"/>
      <c r="E8" s="218"/>
      <c r="F8" s="218"/>
      <c r="G8" s="218"/>
      <c r="H8" s="208">
        <f t="shared" si="0"/>
        <v>0</v>
      </c>
    </row>
    <row r="9" spans="1:8" ht="26.45" customHeight="1" x14ac:dyDescent="0.2">
      <c r="A9" s="212" t="s">
        <v>290</v>
      </c>
      <c r="B9" s="873" t="s">
        <v>291</v>
      </c>
      <c r="C9" s="873"/>
      <c r="D9" s="208">
        <f>SUM(D5:D8)</f>
        <v>0</v>
      </c>
      <c r="E9" s="208">
        <f t="shared" ref="E9:G9" si="1">SUM(E5:E8)</f>
        <v>0</v>
      </c>
      <c r="F9" s="208">
        <f t="shared" si="1"/>
        <v>0</v>
      </c>
      <c r="G9" s="208">
        <f t="shared" si="1"/>
        <v>0</v>
      </c>
      <c r="H9" s="208">
        <f>SUM(D9:G9)</f>
        <v>0</v>
      </c>
    </row>
    <row r="10" spans="1:8" x14ac:dyDescent="0.2">
      <c r="A10" s="870" t="s">
        <v>295</v>
      </c>
      <c r="B10" s="870"/>
      <c r="C10" s="870"/>
      <c r="D10" s="870"/>
      <c r="E10" s="870"/>
      <c r="F10" s="870"/>
      <c r="G10" s="870"/>
      <c r="H10" s="870"/>
    </row>
    <row r="11" spans="1:8" x14ac:dyDescent="0.2">
      <c r="A11" s="871" t="s">
        <v>277</v>
      </c>
      <c r="B11" s="871"/>
      <c r="C11" s="871"/>
      <c r="D11" s="867" t="s">
        <v>293</v>
      </c>
      <c r="E11" s="868"/>
      <c r="F11" s="868"/>
      <c r="G11" s="868"/>
      <c r="H11" s="867" t="s">
        <v>294</v>
      </c>
    </row>
    <row r="12" spans="1:8" x14ac:dyDescent="0.2">
      <c r="A12" s="871"/>
      <c r="B12" s="871"/>
      <c r="C12" s="871"/>
      <c r="D12" s="211" t="str">
        <f xml:space="preserve"> "(1) " &amp; B5</f>
        <v xml:space="preserve">(1) </v>
      </c>
      <c r="E12" s="211" t="str">
        <f xml:space="preserve"> "(2) " &amp; B6</f>
        <v xml:space="preserve">(2) </v>
      </c>
      <c r="F12" s="211" t="str">
        <f xml:space="preserve"> "(3) " &amp; B7</f>
        <v xml:space="preserve">(3) </v>
      </c>
      <c r="G12" s="211" t="str">
        <f xml:space="preserve"> "(4) " &amp; B8</f>
        <v xml:space="preserve">(4) </v>
      </c>
      <c r="H12" s="867"/>
    </row>
    <row r="13" spans="1:8" ht="26.45" customHeight="1" x14ac:dyDescent="0.2">
      <c r="A13" s="210"/>
      <c r="B13" s="865" t="s">
        <v>266</v>
      </c>
      <c r="C13" s="865"/>
      <c r="D13" s="208">
        <f>'CUSE Grant Budget Form'!H114</f>
        <v>0</v>
      </c>
      <c r="E13" s="218"/>
      <c r="F13" s="218"/>
      <c r="G13" s="218"/>
      <c r="H13" s="208">
        <f>SUM(D13:G13)</f>
        <v>0</v>
      </c>
    </row>
    <row r="14" spans="1:8" ht="26.45" customHeight="1" x14ac:dyDescent="0.2">
      <c r="A14" s="210"/>
      <c r="B14" s="865" t="s">
        <v>267</v>
      </c>
      <c r="C14" s="865"/>
      <c r="D14" s="208">
        <f>'CUSE Grant Budget Form'!H122</f>
        <v>0</v>
      </c>
      <c r="E14" s="218"/>
      <c r="F14" s="218"/>
      <c r="G14" s="218"/>
      <c r="H14" s="208">
        <f t="shared" ref="H14:H23" si="2">SUM(D14:G14)</f>
        <v>0</v>
      </c>
    </row>
    <row r="15" spans="1:8" ht="26.45" customHeight="1" x14ac:dyDescent="0.2">
      <c r="A15" s="210"/>
      <c r="B15" s="865" t="s">
        <v>268</v>
      </c>
      <c r="C15" s="865"/>
      <c r="D15" s="208">
        <f>'CUSE Grant Budget Form'!H133</f>
        <v>0</v>
      </c>
      <c r="E15" s="218"/>
      <c r="F15" s="218"/>
      <c r="G15" s="218"/>
      <c r="H15" s="208">
        <f t="shared" si="2"/>
        <v>0</v>
      </c>
    </row>
    <row r="16" spans="1:8" ht="26.45" customHeight="1" x14ac:dyDescent="0.2">
      <c r="A16" s="210"/>
      <c r="B16" s="865" t="s">
        <v>269</v>
      </c>
      <c r="C16" s="865"/>
      <c r="D16" s="208">
        <f>'CUSE Grant Budget Form'!H128</f>
        <v>0</v>
      </c>
      <c r="E16" s="218"/>
      <c r="F16" s="218"/>
      <c r="G16" s="218"/>
      <c r="H16" s="208">
        <f t="shared" si="2"/>
        <v>0</v>
      </c>
    </row>
    <row r="17" spans="1:8" ht="26.45" customHeight="1" x14ac:dyDescent="0.2">
      <c r="A17" s="210"/>
      <c r="B17" s="865" t="s">
        <v>270</v>
      </c>
      <c r="C17" s="865"/>
      <c r="D17" s="208">
        <f>'CUSE Grant Budget Form'!H143</f>
        <v>0</v>
      </c>
      <c r="E17" s="218"/>
      <c r="F17" s="218"/>
      <c r="G17" s="218"/>
      <c r="H17" s="208">
        <f t="shared" si="2"/>
        <v>0</v>
      </c>
    </row>
    <row r="18" spans="1:8" ht="26.45" customHeight="1" x14ac:dyDescent="0.2">
      <c r="A18" s="210"/>
      <c r="B18" s="865" t="s">
        <v>271</v>
      </c>
      <c r="C18" s="865"/>
      <c r="D18" s="208">
        <f>SUM('CUSE Grant Budget Form'!H144,'CUSE Grant Budget Form'!H146,'CUSE Grant Budget Form'!H147)</f>
        <v>0</v>
      </c>
      <c r="E18" s="218"/>
      <c r="F18" s="218"/>
      <c r="G18" s="218"/>
      <c r="H18" s="208">
        <f t="shared" si="2"/>
        <v>0</v>
      </c>
    </row>
    <row r="19" spans="1:8" ht="26.45" customHeight="1" x14ac:dyDescent="0.2">
      <c r="A19" s="210"/>
      <c r="B19" s="866" t="s">
        <v>272</v>
      </c>
      <c r="C19" s="866"/>
      <c r="D19" s="209"/>
      <c r="E19" s="209"/>
      <c r="F19" s="209"/>
      <c r="G19" s="209"/>
      <c r="H19" s="209"/>
    </row>
    <row r="20" spans="1:8" ht="26.45" customHeight="1" x14ac:dyDescent="0.2">
      <c r="A20" s="210"/>
      <c r="B20" s="865" t="s">
        <v>273</v>
      </c>
      <c r="C20" s="865"/>
      <c r="D20" s="208">
        <f>'CUSE Grant Budget Form'!H171-SUM(D13:D18)</f>
        <v>0</v>
      </c>
      <c r="E20" s="218"/>
      <c r="F20" s="218"/>
      <c r="G20" s="218"/>
      <c r="H20" s="208">
        <f t="shared" si="2"/>
        <v>0</v>
      </c>
    </row>
    <row r="21" spans="1:8" ht="26.45" customHeight="1" x14ac:dyDescent="0.2">
      <c r="A21" s="210"/>
      <c r="B21" s="865" t="s">
        <v>274</v>
      </c>
      <c r="C21" s="865"/>
      <c r="D21" s="208">
        <f>SUM(D13:D20)</f>
        <v>0</v>
      </c>
      <c r="E21" s="218"/>
      <c r="F21" s="218"/>
      <c r="G21" s="218"/>
      <c r="H21" s="208">
        <f t="shared" si="2"/>
        <v>0</v>
      </c>
    </row>
    <row r="22" spans="1:8" ht="26.45" customHeight="1" x14ac:dyDescent="0.2">
      <c r="A22" s="210"/>
      <c r="B22" s="865" t="s">
        <v>275</v>
      </c>
      <c r="C22" s="865"/>
      <c r="D22" s="208">
        <f>'CUSE Grant Budget Form'!H173</f>
        <v>0</v>
      </c>
      <c r="E22" s="218"/>
      <c r="F22" s="218"/>
      <c r="G22" s="218"/>
      <c r="H22" s="208">
        <f t="shared" si="2"/>
        <v>0</v>
      </c>
    </row>
    <row r="23" spans="1:8" ht="26.45" customHeight="1" x14ac:dyDescent="0.2">
      <c r="A23" s="210"/>
      <c r="B23" s="865" t="s">
        <v>276</v>
      </c>
      <c r="C23" s="865"/>
      <c r="D23" s="208">
        <f>SUM(D21:D22)</f>
        <v>0</v>
      </c>
      <c r="E23" s="208">
        <f t="shared" ref="E23:G23" si="3">SUM(E21:E22)</f>
        <v>0</v>
      </c>
      <c r="F23" s="208">
        <f t="shared" si="3"/>
        <v>0</v>
      </c>
      <c r="G23" s="208">
        <f t="shared" si="3"/>
        <v>0</v>
      </c>
      <c r="H23" s="208">
        <f t="shared" si="2"/>
        <v>0</v>
      </c>
    </row>
    <row r="24" spans="1:8" x14ac:dyDescent="0.2">
      <c r="A24" s="872"/>
      <c r="B24" s="872"/>
      <c r="C24" s="872"/>
      <c r="D24" s="872"/>
      <c r="E24" s="872"/>
      <c r="F24" s="872"/>
      <c r="G24" s="872"/>
      <c r="H24" s="872"/>
    </row>
    <row r="25" spans="1:8" ht="26.45" customHeight="1" x14ac:dyDescent="0.2">
      <c r="A25" s="873" t="s">
        <v>297</v>
      </c>
      <c r="B25" s="873"/>
      <c r="C25" s="873"/>
      <c r="D25" s="206"/>
      <c r="E25" s="206"/>
      <c r="F25" s="206"/>
      <c r="G25" s="206"/>
      <c r="H25" s="208">
        <f>SUM(D25:G25)</f>
        <v>0</v>
      </c>
    </row>
    <row r="26" spans="1:8" x14ac:dyDescent="0.2">
      <c r="A26" s="869" t="s">
        <v>298</v>
      </c>
      <c r="B26" s="869"/>
      <c r="C26" s="869"/>
      <c r="D26" s="869"/>
      <c r="E26" s="869"/>
      <c r="F26" s="869"/>
      <c r="G26" s="869"/>
      <c r="H26" s="869"/>
    </row>
    <row r="27" spans="1:8" ht="26.45" customHeight="1" x14ac:dyDescent="0.2">
      <c r="A27" s="874" t="s">
        <v>320</v>
      </c>
      <c r="B27" s="874"/>
      <c r="C27" s="874"/>
      <c r="D27" s="874"/>
      <c r="E27" s="214" t="s">
        <v>316</v>
      </c>
      <c r="F27" s="215" t="s">
        <v>317</v>
      </c>
      <c r="G27" s="214" t="s">
        <v>318</v>
      </c>
      <c r="H27" s="214" t="s">
        <v>319</v>
      </c>
    </row>
    <row r="28" spans="1:8" ht="26.45" customHeight="1" x14ac:dyDescent="0.2">
      <c r="A28" s="212" t="s">
        <v>303</v>
      </c>
      <c r="B28" s="875">
        <f>B5</f>
        <v>0</v>
      </c>
      <c r="C28" s="875"/>
      <c r="D28" s="875"/>
      <c r="E28" s="218"/>
      <c r="F28" s="218"/>
      <c r="G28" s="218"/>
      <c r="H28" s="208">
        <f>SUM(E28:G28)</f>
        <v>0</v>
      </c>
    </row>
    <row r="29" spans="1:8" ht="26.45" customHeight="1" x14ac:dyDescent="0.2">
      <c r="A29" s="212" t="s">
        <v>302</v>
      </c>
      <c r="B29" s="875">
        <f t="shared" ref="B29:B31" si="4">B6</f>
        <v>0</v>
      </c>
      <c r="C29" s="875"/>
      <c r="D29" s="875"/>
      <c r="E29" s="218"/>
      <c r="F29" s="218"/>
      <c r="G29" s="218"/>
      <c r="H29" s="208">
        <f t="shared" ref="H29:H32" si="5">SUM(E29:G29)</f>
        <v>0</v>
      </c>
    </row>
    <row r="30" spans="1:8" ht="26.45" customHeight="1" x14ac:dyDescent="0.2">
      <c r="A30" s="212" t="s">
        <v>301</v>
      </c>
      <c r="B30" s="875">
        <f t="shared" si="4"/>
        <v>0</v>
      </c>
      <c r="C30" s="875"/>
      <c r="D30" s="875"/>
      <c r="E30" s="218"/>
      <c r="F30" s="218"/>
      <c r="G30" s="218"/>
      <c r="H30" s="208">
        <f t="shared" si="5"/>
        <v>0</v>
      </c>
    </row>
    <row r="31" spans="1:8" ht="26.45" customHeight="1" x14ac:dyDescent="0.2">
      <c r="A31" s="212" t="s">
        <v>300</v>
      </c>
      <c r="B31" s="875">
        <f t="shared" si="4"/>
        <v>0</v>
      </c>
      <c r="C31" s="875"/>
      <c r="D31" s="875"/>
      <c r="E31" s="218"/>
      <c r="F31" s="218"/>
      <c r="G31" s="218"/>
      <c r="H31" s="208">
        <f t="shared" si="5"/>
        <v>0</v>
      </c>
    </row>
    <row r="32" spans="1:8" ht="26.45" customHeight="1" x14ac:dyDescent="0.2">
      <c r="A32" s="212" t="s">
        <v>299</v>
      </c>
      <c r="B32" s="873" t="s">
        <v>321</v>
      </c>
      <c r="C32" s="865"/>
      <c r="D32" s="865"/>
      <c r="E32" s="208">
        <f>SUM(E28:E31)</f>
        <v>0</v>
      </c>
      <c r="F32" s="208">
        <f t="shared" ref="F32:G32" si="6">SUM(F28:F31)</f>
        <v>0</v>
      </c>
      <c r="G32" s="208">
        <f t="shared" si="6"/>
        <v>0</v>
      </c>
      <c r="H32" s="208">
        <f t="shared" si="5"/>
        <v>0</v>
      </c>
    </row>
    <row r="33" spans="1:8" ht="26.45" customHeight="1" x14ac:dyDescent="0.2">
      <c r="A33" s="869" t="s">
        <v>304</v>
      </c>
      <c r="B33" s="869"/>
      <c r="C33" s="869"/>
      <c r="D33" s="869"/>
      <c r="E33" s="869"/>
      <c r="F33" s="869"/>
      <c r="G33" s="869"/>
      <c r="H33" s="869"/>
    </row>
    <row r="34" spans="1:8" ht="13.15" customHeight="1" x14ac:dyDescent="0.2">
      <c r="A34" s="210"/>
      <c r="B34" s="865"/>
      <c r="C34" s="865"/>
      <c r="D34" s="214" t="s">
        <v>324</v>
      </c>
      <c r="E34" s="214" t="s">
        <v>325</v>
      </c>
      <c r="F34" s="214" t="s">
        <v>326</v>
      </c>
      <c r="G34" s="214" t="s">
        <v>327</v>
      </c>
      <c r="H34" s="214" t="s">
        <v>328</v>
      </c>
    </row>
    <row r="35" spans="1:8" ht="26.45" customHeight="1" x14ac:dyDescent="0.2">
      <c r="A35" s="212" t="s">
        <v>306</v>
      </c>
      <c r="B35" s="873" t="s">
        <v>64</v>
      </c>
      <c r="C35" s="873"/>
      <c r="D35" s="208">
        <f>IF('Personnel Yr 1'!N5="Federal",D23,0)</f>
        <v>0</v>
      </c>
      <c r="E35" s="208">
        <f>D35/4</f>
        <v>0</v>
      </c>
      <c r="F35" s="208">
        <f>D35/4</f>
        <v>0</v>
      </c>
      <c r="G35" s="208">
        <f>D35/4</f>
        <v>0</v>
      </c>
      <c r="H35" s="208">
        <f>D35/4</f>
        <v>0</v>
      </c>
    </row>
    <row r="36" spans="1:8" ht="26.45" customHeight="1" x14ac:dyDescent="0.2">
      <c r="A36" s="212" t="s">
        <v>307</v>
      </c>
      <c r="B36" s="873" t="s">
        <v>322</v>
      </c>
      <c r="C36" s="865"/>
      <c r="D36" s="208">
        <f>IF('Personnel Yr 1'!N5&lt;&gt;"Federal",D23,0)</f>
        <v>0</v>
      </c>
      <c r="E36" s="208">
        <f>D36/4</f>
        <v>0</v>
      </c>
      <c r="F36" s="208">
        <f>D36/4</f>
        <v>0</v>
      </c>
      <c r="G36" s="208">
        <f>D36/4</f>
        <v>0</v>
      </c>
      <c r="H36" s="208">
        <f>D36/4</f>
        <v>0</v>
      </c>
    </row>
    <row r="37" spans="1:8" ht="26.45" customHeight="1" x14ac:dyDescent="0.2">
      <c r="A37" s="212" t="s">
        <v>308</v>
      </c>
      <c r="B37" s="873" t="s">
        <v>323</v>
      </c>
      <c r="C37" s="865"/>
      <c r="D37" s="208">
        <f>SUM(D35:D36)</f>
        <v>0</v>
      </c>
      <c r="E37" s="208">
        <f t="shared" ref="E37:G37" si="7">SUM(E35:E36)</f>
        <v>0</v>
      </c>
      <c r="F37" s="208">
        <f t="shared" si="7"/>
        <v>0</v>
      </c>
      <c r="G37" s="208">
        <f t="shared" si="7"/>
        <v>0</v>
      </c>
      <c r="H37" s="208">
        <f>SUM(H35:H36)</f>
        <v>0</v>
      </c>
    </row>
    <row r="38" spans="1:8" ht="26.45" customHeight="1" x14ac:dyDescent="0.2">
      <c r="A38" s="869" t="s">
        <v>305</v>
      </c>
      <c r="B38" s="869"/>
      <c r="C38" s="869"/>
      <c r="D38" s="869"/>
      <c r="E38" s="869"/>
      <c r="F38" s="869"/>
      <c r="G38" s="869"/>
      <c r="H38" s="869"/>
    </row>
    <row r="39" spans="1:8" ht="13.15" customHeight="1" x14ac:dyDescent="0.2">
      <c r="A39" s="876" t="s">
        <v>320</v>
      </c>
      <c r="B39" s="876"/>
      <c r="C39" s="876"/>
      <c r="D39" s="876"/>
      <c r="E39" s="868" t="s">
        <v>329</v>
      </c>
      <c r="F39" s="868"/>
      <c r="G39" s="868"/>
      <c r="H39" s="868"/>
    </row>
    <row r="40" spans="1:8" ht="13.15" customHeight="1" x14ac:dyDescent="0.2">
      <c r="A40" s="876"/>
      <c r="B40" s="876"/>
      <c r="C40" s="876"/>
      <c r="D40" s="876"/>
      <c r="E40" s="216" t="s">
        <v>330</v>
      </c>
      <c r="F40" s="216" t="s">
        <v>331</v>
      </c>
      <c r="G40" s="216" t="s">
        <v>332</v>
      </c>
      <c r="H40" s="216" t="s">
        <v>333</v>
      </c>
    </row>
    <row r="41" spans="1:8" ht="26.45" customHeight="1" x14ac:dyDescent="0.2">
      <c r="A41" s="212" t="s">
        <v>309</v>
      </c>
      <c r="B41" s="875">
        <f>B5</f>
        <v>0</v>
      </c>
      <c r="C41" s="875"/>
      <c r="D41" s="875"/>
      <c r="E41" s="218"/>
      <c r="F41" s="218"/>
      <c r="G41" s="218"/>
      <c r="H41" s="218"/>
    </row>
    <row r="42" spans="1:8" ht="26.45" customHeight="1" x14ac:dyDescent="0.2">
      <c r="A42" s="212" t="s">
        <v>310</v>
      </c>
      <c r="B42" s="875">
        <f t="shared" ref="B42:B44" si="8">B6</f>
        <v>0</v>
      </c>
      <c r="C42" s="875"/>
      <c r="D42" s="875"/>
      <c r="E42" s="218"/>
      <c r="F42" s="218"/>
      <c r="G42" s="218"/>
      <c r="H42" s="218"/>
    </row>
    <row r="43" spans="1:8" ht="26.45" customHeight="1" x14ac:dyDescent="0.2">
      <c r="A43" s="212" t="s">
        <v>311</v>
      </c>
      <c r="B43" s="875">
        <f t="shared" si="8"/>
        <v>0</v>
      </c>
      <c r="C43" s="875"/>
      <c r="D43" s="875"/>
      <c r="E43" s="218"/>
      <c r="F43" s="218"/>
      <c r="G43" s="218"/>
      <c r="H43" s="218"/>
    </row>
    <row r="44" spans="1:8" ht="26.45" customHeight="1" x14ac:dyDescent="0.2">
      <c r="A44" s="212" t="s">
        <v>312</v>
      </c>
      <c r="B44" s="875">
        <f t="shared" si="8"/>
        <v>0</v>
      </c>
      <c r="C44" s="875"/>
      <c r="D44" s="875"/>
      <c r="E44" s="218"/>
      <c r="F44" s="218"/>
      <c r="G44" s="218"/>
      <c r="H44" s="218"/>
    </row>
    <row r="45" spans="1:8" ht="26.45" customHeight="1" x14ac:dyDescent="0.2">
      <c r="A45" s="212" t="s">
        <v>313</v>
      </c>
      <c r="B45" s="865" t="s">
        <v>334</v>
      </c>
      <c r="C45" s="865"/>
      <c r="D45" s="865"/>
      <c r="E45" s="207">
        <f>SUM(E41:E44)</f>
        <v>0</v>
      </c>
      <c r="F45" s="207">
        <f t="shared" ref="F45:H45" si="9">SUM(F41:F44)</f>
        <v>0</v>
      </c>
      <c r="G45" s="207">
        <f t="shared" si="9"/>
        <v>0</v>
      </c>
      <c r="H45" s="207">
        <f t="shared" si="9"/>
        <v>0</v>
      </c>
    </row>
    <row r="46" spans="1:8" ht="26.45" customHeight="1" x14ac:dyDescent="0.2">
      <c r="A46" s="869" t="s">
        <v>335</v>
      </c>
      <c r="B46" s="869"/>
      <c r="C46" s="869"/>
      <c r="D46" s="869"/>
      <c r="E46" s="869"/>
      <c r="F46" s="869"/>
      <c r="G46" s="869"/>
      <c r="H46" s="869"/>
    </row>
    <row r="47" spans="1:8" ht="13.15" customHeight="1" x14ac:dyDescent="0.2">
      <c r="A47" s="212" t="s">
        <v>314</v>
      </c>
      <c r="B47" s="865" t="s">
        <v>336</v>
      </c>
      <c r="C47" s="865"/>
      <c r="D47" s="865"/>
      <c r="E47" s="217" t="s">
        <v>338</v>
      </c>
      <c r="F47" s="865" t="s">
        <v>339</v>
      </c>
      <c r="G47" s="865"/>
      <c r="H47" s="865"/>
    </row>
    <row r="48" spans="1:8" ht="13.15" customHeight="1" x14ac:dyDescent="0.2">
      <c r="A48" s="212"/>
      <c r="B48" s="878">
        <f>D21</f>
        <v>0</v>
      </c>
      <c r="C48" s="878"/>
      <c r="D48" s="878"/>
      <c r="E48" s="210"/>
      <c r="F48" s="878">
        <f>D22</f>
        <v>0</v>
      </c>
      <c r="G48" s="878"/>
      <c r="H48" s="878"/>
    </row>
    <row r="49" spans="1:8" ht="26.45" customHeight="1" x14ac:dyDescent="0.2">
      <c r="A49" s="212" t="s">
        <v>315</v>
      </c>
      <c r="B49" s="210" t="s">
        <v>337</v>
      </c>
      <c r="C49" s="877"/>
      <c r="D49" s="877"/>
      <c r="E49" s="877"/>
      <c r="F49" s="877"/>
      <c r="G49" s="877"/>
      <c r="H49" s="877"/>
    </row>
  </sheetData>
  <sheetProtection algorithmName="SHA-512" hashValue="1Coi7Odydmru+9vaKKStlsbGH6FQYaiWS9nqwoyFncdaTAf5wYYcexSCxKgVdroitqNcLYE3Y10KKe75y4VqmQ==" saltValue="UUj8VedIT3bEe/ji5JuoXQ==" spinCount="100000" sheet="1" objects="1" scenarios="1"/>
  <mergeCells count="50">
    <mergeCell ref="C49:H49"/>
    <mergeCell ref="F47:H47"/>
    <mergeCell ref="F48:H48"/>
    <mergeCell ref="B9:C9"/>
    <mergeCell ref="A1:H1"/>
    <mergeCell ref="B43:D43"/>
    <mergeCell ref="B42:D42"/>
    <mergeCell ref="B41:D41"/>
    <mergeCell ref="B47:D47"/>
    <mergeCell ref="B48:D48"/>
    <mergeCell ref="B37:C37"/>
    <mergeCell ref="B36:C36"/>
    <mergeCell ref="B35:C35"/>
    <mergeCell ref="B34:C34"/>
    <mergeCell ref="B30:D30"/>
    <mergeCell ref="B29:D29"/>
    <mergeCell ref="A33:H33"/>
    <mergeCell ref="A38:H38"/>
    <mergeCell ref="A46:H46"/>
    <mergeCell ref="A39:D40"/>
    <mergeCell ref="E39:H39"/>
    <mergeCell ref="B45:D45"/>
    <mergeCell ref="B44:D44"/>
    <mergeCell ref="A24:H24"/>
    <mergeCell ref="A25:C25"/>
    <mergeCell ref="A26:H26"/>
    <mergeCell ref="A27:D27"/>
    <mergeCell ref="B32:D32"/>
    <mergeCell ref="B31:D31"/>
    <mergeCell ref="B28:D28"/>
    <mergeCell ref="A2:H2"/>
    <mergeCell ref="A10:H10"/>
    <mergeCell ref="A11:C12"/>
    <mergeCell ref="D11:G11"/>
    <mergeCell ref="H11:H12"/>
    <mergeCell ref="B18:C18"/>
    <mergeCell ref="B17:C17"/>
    <mergeCell ref="B16:C16"/>
    <mergeCell ref="B15:C15"/>
    <mergeCell ref="B14:C14"/>
    <mergeCell ref="B13:C13"/>
    <mergeCell ref="D3:E3"/>
    <mergeCell ref="F3:H3"/>
    <mergeCell ref="B3:B4"/>
    <mergeCell ref="C3:C4"/>
    <mergeCell ref="B23:C23"/>
    <mergeCell ref="B22:C22"/>
    <mergeCell ref="B21:C21"/>
    <mergeCell ref="B20:C20"/>
    <mergeCell ref="B19:C19"/>
  </mergeCells>
  <printOptions horizontalCentered="1"/>
  <pageMargins left="0.5" right="0.5" top="0.5" bottom="0.25" header="0.5" footer="0.25"/>
  <pageSetup orientation="landscape" verticalDpi="0" r:id="rId1"/>
  <ignoredErrors>
    <ignoredError sqref="E47 A47:A49 A41:A45 A34:A37 A28:A32 A5:A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6"/>
  <sheetViews>
    <sheetView workbookViewId="0">
      <selection sqref="A1:M1"/>
    </sheetView>
  </sheetViews>
  <sheetFormatPr defaultRowHeight="12.75" x14ac:dyDescent="0.2"/>
  <cols>
    <col min="1" max="1" width="3.28515625" style="229" customWidth="1"/>
    <col min="2" max="2" width="7.85546875" style="229" customWidth="1"/>
    <col min="3" max="5" width="7.85546875" style="220" customWidth="1"/>
    <col min="6" max="10" width="7.85546875" style="9" customWidth="1"/>
    <col min="11" max="17" width="7.85546875" style="220" customWidth="1"/>
  </cols>
  <sheetData>
    <row r="1" spans="1:17" ht="16.899999999999999" customHeight="1" thickTop="1" x14ac:dyDescent="0.2">
      <c r="A1" s="932" t="s">
        <v>341</v>
      </c>
      <c r="B1" s="933"/>
      <c r="C1" s="933"/>
      <c r="D1" s="933"/>
      <c r="E1" s="933"/>
      <c r="F1" s="933"/>
      <c r="G1" s="933"/>
      <c r="H1" s="933"/>
      <c r="I1" s="933"/>
      <c r="J1" s="933"/>
      <c r="K1" s="933"/>
      <c r="L1" s="933"/>
      <c r="M1" s="934"/>
      <c r="N1" s="920" t="s">
        <v>344</v>
      </c>
      <c r="O1" s="921"/>
      <c r="P1" s="921"/>
      <c r="Q1" s="922"/>
    </row>
    <row r="2" spans="1:17" ht="16.899999999999999" customHeight="1" x14ac:dyDescent="0.2">
      <c r="A2" s="880" t="s">
        <v>342</v>
      </c>
      <c r="B2" s="881"/>
      <c r="C2" s="881"/>
      <c r="D2" s="881"/>
      <c r="E2" s="881"/>
      <c r="F2" s="881"/>
      <c r="G2" s="881"/>
      <c r="H2" s="881"/>
      <c r="I2" s="881"/>
      <c r="J2" s="881"/>
      <c r="K2" s="881"/>
      <c r="L2" s="881"/>
      <c r="M2" s="882"/>
      <c r="N2" s="908" t="s">
        <v>407</v>
      </c>
      <c r="O2" s="883"/>
      <c r="P2" s="883"/>
      <c r="Q2" s="884"/>
    </row>
    <row r="3" spans="1:17" ht="16.899999999999999" customHeight="1" thickBot="1" x14ac:dyDescent="0.25">
      <c r="A3" s="880" t="s">
        <v>343</v>
      </c>
      <c r="B3" s="881"/>
      <c r="C3" s="881"/>
      <c r="D3" s="881"/>
      <c r="E3" s="881"/>
      <c r="F3" s="881"/>
      <c r="G3" s="881"/>
      <c r="H3" s="881"/>
      <c r="I3" s="881"/>
      <c r="J3" s="881"/>
      <c r="K3" s="881"/>
      <c r="L3" s="881"/>
      <c r="M3" s="882"/>
      <c r="N3" s="923"/>
      <c r="O3" s="924"/>
      <c r="P3" s="924"/>
      <c r="Q3" s="925"/>
    </row>
    <row r="4" spans="1:17" ht="16.899999999999999" customHeight="1" x14ac:dyDescent="0.2">
      <c r="A4" s="912" t="s">
        <v>345</v>
      </c>
      <c r="B4" s="913"/>
      <c r="C4" s="913"/>
      <c r="D4" s="913"/>
      <c r="E4" s="913"/>
      <c r="F4" s="913"/>
      <c r="G4" s="913"/>
      <c r="H4" s="913"/>
      <c r="I4" s="905" t="s">
        <v>346</v>
      </c>
      <c r="J4" s="906"/>
      <c r="K4" s="906"/>
      <c r="L4" s="906"/>
      <c r="M4" s="906"/>
      <c r="N4" s="906"/>
      <c r="O4" s="906"/>
      <c r="P4" s="906"/>
      <c r="Q4" s="907"/>
    </row>
    <row r="5" spans="1:17" ht="16.899999999999999" customHeight="1" x14ac:dyDescent="0.2">
      <c r="A5" s="914" t="s">
        <v>362</v>
      </c>
      <c r="B5" s="883"/>
      <c r="C5" s="883"/>
      <c r="D5" s="883"/>
      <c r="E5" s="883"/>
      <c r="F5" s="883"/>
      <c r="G5" s="883"/>
      <c r="H5" s="883"/>
      <c r="I5" s="908"/>
      <c r="J5" s="883"/>
      <c r="K5" s="883"/>
      <c r="L5" s="883"/>
      <c r="M5" s="883"/>
      <c r="N5" s="883"/>
      <c r="O5" s="883"/>
      <c r="P5" s="883"/>
      <c r="Q5" s="884"/>
    </row>
    <row r="6" spans="1:17" ht="16.899999999999999" customHeight="1" thickBot="1" x14ac:dyDescent="0.25">
      <c r="A6" s="915"/>
      <c r="B6" s="910"/>
      <c r="C6" s="910"/>
      <c r="D6" s="910"/>
      <c r="E6" s="910"/>
      <c r="F6" s="910"/>
      <c r="G6" s="910"/>
      <c r="H6" s="910"/>
      <c r="I6" s="909"/>
      <c r="J6" s="910"/>
      <c r="K6" s="910"/>
      <c r="L6" s="910"/>
      <c r="M6" s="910"/>
      <c r="N6" s="910"/>
      <c r="O6" s="910"/>
      <c r="P6" s="910"/>
      <c r="Q6" s="911"/>
    </row>
    <row r="7" spans="1:17" ht="16.899999999999999" customHeight="1" x14ac:dyDescent="0.2">
      <c r="A7" s="898" t="s">
        <v>296</v>
      </c>
      <c r="B7" s="899"/>
      <c r="C7" s="899"/>
      <c r="D7" s="899"/>
      <c r="E7" s="899"/>
      <c r="F7" s="899"/>
      <c r="G7" s="899"/>
      <c r="H7" s="899"/>
      <c r="I7" s="899"/>
      <c r="J7" s="899"/>
      <c r="K7" s="899"/>
      <c r="L7" s="899"/>
      <c r="M7" s="899"/>
      <c r="N7" s="899"/>
      <c r="O7" s="899"/>
      <c r="P7" s="899"/>
      <c r="Q7" s="900"/>
    </row>
    <row r="8" spans="1:17" ht="16.899999999999999" customHeight="1" thickBot="1" x14ac:dyDescent="0.25">
      <c r="A8" s="898" t="s">
        <v>347</v>
      </c>
      <c r="B8" s="899"/>
      <c r="C8" s="899"/>
      <c r="D8" s="899"/>
      <c r="E8" s="899"/>
      <c r="F8" s="899"/>
      <c r="G8" s="899"/>
      <c r="H8" s="899"/>
      <c r="I8" s="899"/>
      <c r="J8" s="899"/>
      <c r="K8" s="899"/>
      <c r="L8" s="899"/>
      <c r="M8" s="899"/>
      <c r="N8" s="899"/>
      <c r="O8" s="899"/>
      <c r="P8" s="899"/>
      <c r="Q8" s="900"/>
    </row>
    <row r="9" spans="1:17" ht="16.899999999999999" customHeight="1" thickBot="1" x14ac:dyDescent="0.25">
      <c r="A9" s="935" t="s">
        <v>348</v>
      </c>
      <c r="B9" s="936"/>
      <c r="C9" s="936"/>
      <c r="D9" s="936"/>
      <c r="E9" s="936"/>
      <c r="F9" s="890" t="s">
        <v>349</v>
      </c>
      <c r="G9" s="890"/>
      <c r="H9" s="890" t="s">
        <v>351</v>
      </c>
      <c r="I9" s="890"/>
      <c r="J9" s="890" t="s">
        <v>353</v>
      </c>
      <c r="K9" s="890"/>
      <c r="L9" s="890" t="s">
        <v>355</v>
      </c>
      <c r="M9" s="890"/>
      <c r="N9" s="890" t="s">
        <v>357</v>
      </c>
      <c r="O9" s="890"/>
      <c r="P9" s="890" t="s">
        <v>40</v>
      </c>
      <c r="Q9" s="901"/>
    </row>
    <row r="10" spans="1:17" ht="16.899999999999999" customHeight="1" thickBot="1" x14ac:dyDescent="0.25">
      <c r="A10" s="935"/>
      <c r="B10" s="936"/>
      <c r="C10" s="936"/>
      <c r="D10" s="936"/>
      <c r="E10" s="936"/>
      <c r="F10" s="891" t="s">
        <v>350</v>
      </c>
      <c r="G10" s="891"/>
      <c r="H10" s="891" t="s">
        <v>352</v>
      </c>
      <c r="I10" s="891"/>
      <c r="J10" s="891" t="s">
        <v>354</v>
      </c>
      <c r="K10" s="891"/>
      <c r="L10" s="891" t="s">
        <v>356</v>
      </c>
      <c r="M10" s="891"/>
      <c r="N10" s="891" t="s">
        <v>358</v>
      </c>
      <c r="O10" s="891"/>
      <c r="P10" s="891" t="s">
        <v>359</v>
      </c>
      <c r="Q10" s="904"/>
    </row>
    <row r="11" spans="1:17" ht="16.899999999999999" customHeight="1" thickBot="1" x14ac:dyDescent="0.25">
      <c r="A11" s="235" t="s">
        <v>278</v>
      </c>
      <c r="B11" s="888" t="s">
        <v>382</v>
      </c>
      <c r="C11" s="888"/>
      <c r="D11" s="888"/>
      <c r="E11" s="889"/>
      <c r="F11" s="886">
        <f>'CUSE Grant Budget Form'!C114</f>
        <v>0</v>
      </c>
      <c r="G11" s="887"/>
      <c r="H11" s="886">
        <f>'CUSE Grant Budget Form'!D114</f>
        <v>0</v>
      </c>
      <c r="I11" s="887"/>
      <c r="J11" s="886">
        <f>'CUSE Grant Budget Form'!E114</f>
        <v>0</v>
      </c>
      <c r="K11" s="887"/>
      <c r="L11" s="886">
        <f>'CUSE Grant Budget Form'!F114</f>
        <v>0</v>
      </c>
      <c r="M11" s="887"/>
      <c r="N11" s="886">
        <f>'CUSE Grant Budget Form'!G114</f>
        <v>0</v>
      </c>
      <c r="O11" s="887"/>
      <c r="P11" s="886">
        <f t="shared" ref="P11:P16" si="0">SUM(F11:O11)</f>
        <v>0</v>
      </c>
      <c r="Q11" s="896"/>
    </row>
    <row r="12" spans="1:17" ht="16.899999999999999" customHeight="1" thickBot="1" x14ac:dyDescent="0.25">
      <c r="A12" s="235" t="s">
        <v>279</v>
      </c>
      <c r="B12" s="888" t="s">
        <v>45</v>
      </c>
      <c r="C12" s="888"/>
      <c r="D12" s="888"/>
      <c r="E12" s="889"/>
      <c r="F12" s="886">
        <f>'CUSE Grant Budget Form'!C122</f>
        <v>0</v>
      </c>
      <c r="G12" s="887"/>
      <c r="H12" s="886">
        <f>'CUSE Grant Budget Form'!D122</f>
        <v>0</v>
      </c>
      <c r="I12" s="887"/>
      <c r="J12" s="886">
        <f>'CUSE Grant Budget Form'!E122</f>
        <v>0</v>
      </c>
      <c r="K12" s="887"/>
      <c r="L12" s="886">
        <f>'CUSE Grant Budget Form'!F122</f>
        <v>0</v>
      </c>
      <c r="M12" s="887"/>
      <c r="N12" s="886">
        <f>'CUSE Grant Budget Form'!G122</f>
        <v>0</v>
      </c>
      <c r="O12" s="887"/>
      <c r="P12" s="886">
        <f t="shared" si="0"/>
        <v>0</v>
      </c>
      <c r="Q12" s="896"/>
    </row>
    <row r="13" spans="1:17" ht="16.899999999999999" customHeight="1" thickBot="1" x14ac:dyDescent="0.25">
      <c r="A13" s="235" t="s">
        <v>280</v>
      </c>
      <c r="B13" s="888" t="s">
        <v>28</v>
      </c>
      <c r="C13" s="888"/>
      <c r="D13" s="888"/>
      <c r="E13" s="889"/>
      <c r="F13" s="886">
        <f>'CUSE Grant Budget Form'!C133</f>
        <v>0</v>
      </c>
      <c r="G13" s="887"/>
      <c r="H13" s="886">
        <f>'CUSE Grant Budget Form'!D133</f>
        <v>0</v>
      </c>
      <c r="I13" s="887"/>
      <c r="J13" s="886">
        <f>'CUSE Grant Budget Form'!E133</f>
        <v>0</v>
      </c>
      <c r="K13" s="887"/>
      <c r="L13" s="886">
        <f>'CUSE Grant Budget Form'!F133</f>
        <v>0</v>
      </c>
      <c r="M13" s="887"/>
      <c r="N13" s="886">
        <f>'CUSE Grant Budget Form'!G133</f>
        <v>0</v>
      </c>
      <c r="O13" s="887"/>
      <c r="P13" s="886">
        <f t="shared" si="0"/>
        <v>0</v>
      </c>
      <c r="Q13" s="896"/>
    </row>
    <row r="14" spans="1:17" ht="16.899999999999999" customHeight="1" thickBot="1" x14ac:dyDescent="0.25">
      <c r="A14" s="235" t="s">
        <v>281</v>
      </c>
      <c r="B14" s="888" t="s">
        <v>383</v>
      </c>
      <c r="C14" s="888"/>
      <c r="D14" s="888"/>
      <c r="E14" s="889"/>
      <c r="F14" s="886">
        <f>'CUSE Grant Budget Form'!C128</f>
        <v>0</v>
      </c>
      <c r="G14" s="887"/>
      <c r="H14" s="886">
        <f>'CUSE Grant Budget Form'!D128</f>
        <v>0</v>
      </c>
      <c r="I14" s="887"/>
      <c r="J14" s="886">
        <f>'CUSE Grant Budget Form'!E128</f>
        <v>0</v>
      </c>
      <c r="K14" s="887"/>
      <c r="L14" s="886">
        <f>'CUSE Grant Budget Form'!F128</f>
        <v>0</v>
      </c>
      <c r="M14" s="887"/>
      <c r="N14" s="886">
        <f>'CUSE Grant Budget Form'!G128</f>
        <v>0</v>
      </c>
      <c r="O14" s="887"/>
      <c r="P14" s="886">
        <f t="shared" si="0"/>
        <v>0</v>
      </c>
      <c r="Q14" s="896"/>
    </row>
    <row r="15" spans="1:17" ht="16.899999999999999" customHeight="1" thickBot="1" x14ac:dyDescent="0.25">
      <c r="A15" s="235" t="s">
        <v>371</v>
      </c>
      <c r="B15" s="888" t="s">
        <v>384</v>
      </c>
      <c r="C15" s="888"/>
      <c r="D15" s="888"/>
      <c r="E15" s="889"/>
      <c r="F15" s="886">
        <f>'CUSE Grant Budget Form'!C143</f>
        <v>0</v>
      </c>
      <c r="G15" s="887"/>
      <c r="H15" s="886">
        <f>'CUSE Grant Budget Form'!D143</f>
        <v>0</v>
      </c>
      <c r="I15" s="887"/>
      <c r="J15" s="886">
        <f>'CUSE Grant Budget Form'!E143</f>
        <v>0</v>
      </c>
      <c r="K15" s="887"/>
      <c r="L15" s="886">
        <f>'CUSE Grant Budget Form'!F143</f>
        <v>0</v>
      </c>
      <c r="M15" s="887"/>
      <c r="N15" s="886">
        <f>'CUSE Grant Budget Form'!G143</f>
        <v>0</v>
      </c>
      <c r="O15" s="887"/>
      <c r="P15" s="886">
        <f t="shared" si="0"/>
        <v>0</v>
      </c>
      <c r="Q15" s="896"/>
    </row>
    <row r="16" spans="1:17" ht="16.899999999999999" customHeight="1" thickBot="1" x14ac:dyDescent="0.25">
      <c r="A16" s="235" t="s">
        <v>372</v>
      </c>
      <c r="B16" s="888" t="s">
        <v>385</v>
      </c>
      <c r="C16" s="888"/>
      <c r="D16" s="888"/>
      <c r="E16" s="889"/>
      <c r="F16" s="886">
        <f>SUM('CUSE Grant Budget Form'!C144,'CUSE Grant Budget Form'!C146,'CUSE Grant Budget Form'!C147)</f>
        <v>0</v>
      </c>
      <c r="G16" s="887"/>
      <c r="H16" s="886">
        <f>SUM('CUSE Grant Budget Form'!D144,'CUSE Grant Budget Form'!D146,'CUSE Grant Budget Form'!D147)</f>
        <v>0</v>
      </c>
      <c r="I16" s="887"/>
      <c r="J16" s="886">
        <f>SUM('CUSE Grant Budget Form'!E144,'CUSE Grant Budget Form'!E146,'CUSE Grant Budget Form'!E147)</f>
        <v>0</v>
      </c>
      <c r="K16" s="887"/>
      <c r="L16" s="886">
        <f>SUM('CUSE Grant Budget Form'!F144,'CUSE Grant Budget Form'!F146,'CUSE Grant Budget Form'!F147)</f>
        <v>0</v>
      </c>
      <c r="M16" s="887"/>
      <c r="N16" s="886">
        <f>SUM('CUSE Grant Budget Form'!G144,'CUSE Grant Budget Form'!G146,'CUSE Grant Budget Form'!G147)</f>
        <v>0</v>
      </c>
      <c r="O16" s="887"/>
      <c r="P16" s="886">
        <f t="shared" si="0"/>
        <v>0</v>
      </c>
      <c r="Q16" s="896"/>
    </row>
    <row r="17" spans="1:17" ht="16.899999999999999" customHeight="1" thickBot="1" x14ac:dyDescent="0.25">
      <c r="A17" s="238" t="s">
        <v>373</v>
      </c>
      <c r="B17" s="902" t="s">
        <v>386</v>
      </c>
      <c r="C17" s="902"/>
      <c r="D17" s="902"/>
      <c r="E17" s="903"/>
      <c r="F17" s="894"/>
      <c r="G17" s="895"/>
      <c r="H17" s="892"/>
      <c r="I17" s="893"/>
      <c r="J17" s="892"/>
      <c r="K17" s="893"/>
      <c r="L17" s="892"/>
      <c r="M17" s="893"/>
      <c r="N17" s="892"/>
      <c r="O17" s="893"/>
      <c r="P17" s="892"/>
      <c r="Q17" s="897"/>
    </row>
    <row r="18" spans="1:17" ht="16.899999999999999" customHeight="1" thickBot="1" x14ac:dyDescent="0.25">
      <c r="A18" s="235" t="s">
        <v>374</v>
      </c>
      <c r="B18" s="888" t="s">
        <v>30</v>
      </c>
      <c r="C18" s="888"/>
      <c r="D18" s="888"/>
      <c r="E18" s="889"/>
      <c r="F18" s="886">
        <f>F19-SUM(F11:G16,F21)</f>
        <v>0</v>
      </c>
      <c r="G18" s="887"/>
      <c r="H18" s="886">
        <f>H19-SUM(H11:I16,H21)</f>
        <v>0</v>
      </c>
      <c r="I18" s="887"/>
      <c r="J18" s="886">
        <f>J19-SUM(J11:K16,J21)</f>
        <v>0</v>
      </c>
      <c r="K18" s="887"/>
      <c r="L18" s="886">
        <f>L19-SUM(L11:M16,L21)</f>
        <v>0</v>
      </c>
      <c r="M18" s="887"/>
      <c r="N18" s="886">
        <f>N19-SUM(N11:O16,N21)</f>
        <v>0</v>
      </c>
      <c r="O18" s="887"/>
      <c r="P18" s="886">
        <f>SUM(F18:O18)</f>
        <v>0</v>
      </c>
      <c r="Q18" s="896"/>
    </row>
    <row r="19" spans="1:17" ht="16.899999999999999" customHeight="1" thickBot="1" x14ac:dyDescent="0.25">
      <c r="A19" s="235" t="s">
        <v>375</v>
      </c>
      <c r="B19" s="888" t="s">
        <v>387</v>
      </c>
      <c r="C19" s="888"/>
      <c r="D19" s="888"/>
      <c r="E19" s="889"/>
      <c r="F19" s="886">
        <f>'CUSE Grant Budget Form'!C171</f>
        <v>0</v>
      </c>
      <c r="G19" s="887"/>
      <c r="H19" s="886">
        <f>'CUSE Grant Budget Form'!D171</f>
        <v>0</v>
      </c>
      <c r="I19" s="887"/>
      <c r="J19" s="886">
        <f>'CUSE Grant Budget Form'!E171</f>
        <v>0</v>
      </c>
      <c r="K19" s="887"/>
      <c r="L19" s="886">
        <f>'CUSE Grant Budget Form'!F171</f>
        <v>0</v>
      </c>
      <c r="M19" s="887"/>
      <c r="N19" s="886">
        <f>'CUSE Grant Budget Form'!G171</f>
        <v>0</v>
      </c>
      <c r="O19" s="887"/>
      <c r="P19" s="886">
        <f>SUM(F19:O19)</f>
        <v>0</v>
      </c>
      <c r="Q19" s="896"/>
    </row>
    <row r="20" spans="1:17" ht="16.899999999999999" customHeight="1" thickBot="1" x14ac:dyDescent="0.25">
      <c r="A20" s="235" t="s">
        <v>376</v>
      </c>
      <c r="B20" s="888" t="s">
        <v>388</v>
      </c>
      <c r="C20" s="888"/>
      <c r="D20" s="888"/>
      <c r="E20" s="889"/>
      <c r="F20" s="886">
        <f>'CUSE Grant Budget Form'!C173</f>
        <v>0</v>
      </c>
      <c r="G20" s="887"/>
      <c r="H20" s="886">
        <f>'CUSE Grant Budget Form'!D173</f>
        <v>0</v>
      </c>
      <c r="I20" s="887"/>
      <c r="J20" s="886">
        <f>'CUSE Grant Budget Form'!E173</f>
        <v>0</v>
      </c>
      <c r="K20" s="887"/>
      <c r="L20" s="886">
        <f>'CUSE Grant Budget Form'!F173</f>
        <v>0</v>
      </c>
      <c r="M20" s="887"/>
      <c r="N20" s="886">
        <f>'CUSE Grant Budget Form'!G173</f>
        <v>0</v>
      </c>
      <c r="O20" s="887"/>
      <c r="P20" s="886">
        <f>SUM(F20:O20)</f>
        <v>0</v>
      </c>
      <c r="Q20" s="896"/>
    </row>
    <row r="21" spans="1:17" ht="16.899999999999999" customHeight="1" thickBot="1" x14ac:dyDescent="0.25">
      <c r="A21" s="235" t="s">
        <v>377</v>
      </c>
      <c r="B21" s="888" t="s">
        <v>389</v>
      </c>
      <c r="C21" s="888"/>
      <c r="D21" s="888"/>
      <c r="E21" s="889"/>
      <c r="F21" s="886">
        <f>'CUSE Grant Budget Form'!C136</f>
        <v>0</v>
      </c>
      <c r="G21" s="887"/>
      <c r="H21" s="886">
        <f>'CUSE Grant Budget Form'!D136</f>
        <v>0</v>
      </c>
      <c r="I21" s="887"/>
      <c r="J21" s="886">
        <f>'CUSE Grant Budget Form'!E136</f>
        <v>0</v>
      </c>
      <c r="K21" s="887"/>
      <c r="L21" s="886">
        <f>'CUSE Grant Budget Form'!F136</f>
        <v>0</v>
      </c>
      <c r="M21" s="887"/>
      <c r="N21" s="886">
        <f>'CUSE Grant Budget Form'!G136</f>
        <v>0</v>
      </c>
      <c r="O21" s="887"/>
      <c r="P21" s="886">
        <f>SUM(F21:O21)</f>
        <v>0</v>
      </c>
      <c r="Q21" s="896"/>
    </row>
    <row r="22" spans="1:17" ht="16.899999999999999" customHeight="1" thickBot="1" x14ac:dyDescent="0.25">
      <c r="A22" s="235" t="s">
        <v>370</v>
      </c>
      <c r="B22" s="888" t="s">
        <v>390</v>
      </c>
      <c r="C22" s="888"/>
      <c r="D22" s="888"/>
      <c r="E22" s="889"/>
      <c r="F22" s="886">
        <f>SUM(F19:G20)</f>
        <v>0</v>
      </c>
      <c r="G22" s="887"/>
      <c r="H22" s="886">
        <f>SUM(H19:I20)</f>
        <v>0</v>
      </c>
      <c r="I22" s="887"/>
      <c r="J22" s="886">
        <f>SUM(J19:K20)</f>
        <v>0</v>
      </c>
      <c r="K22" s="887"/>
      <c r="L22" s="886">
        <f>SUM(L19:M20)</f>
        <v>0</v>
      </c>
      <c r="M22" s="887"/>
      <c r="N22" s="886">
        <f>SUM(N19:O20)</f>
        <v>0</v>
      </c>
      <c r="O22" s="887"/>
      <c r="P22" s="886">
        <f>SUM(F22:O22)</f>
        <v>0</v>
      </c>
      <c r="Q22" s="896"/>
    </row>
    <row r="23" spans="1:17" ht="16.899999999999999" customHeight="1" x14ac:dyDescent="0.2">
      <c r="A23" s="232"/>
      <c r="B23" s="937" t="s">
        <v>360</v>
      </c>
      <c r="C23" s="937"/>
      <c r="D23" s="937"/>
      <c r="E23" s="937"/>
      <c r="F23" s="937"/>
      <c r="G23" s="937"/>
      <c r="H23" s="937"/>
      <c r="I23" s="937"/>
      <c r="J23" s="937"/>
      <c r="K23" s="937"/>
      <c r="L23" s="937"/>
      <c r="M23" s="937"/>
      <c r="N23" s="937"/>
      <c r="O23" s="937"/>
      <c r="P23" s="937"/>
      <c r="Q23" s="938"/>
    </row>
    <row r="24" spans="1:17" ht="16.899999999999999" customHeight="1" x14ac:dyDescent="0.2">
      <c r="A24" s="232"/>
      <c r="B24" s="883" t="s">
        <v>361</v>
      </c>
      <c r="C24" s="883"/>
      <c r="D24" s="883"/>
      <c r="E24" s="883"/>
      <c r="F24" s="883"/>
      <c r="G24" s="883"/>
      <c r="H24" s="883"/>
      <c r="I24" s="883"/>
      <c r="J24" s="883"/>
      <c r="K24" s="883"/>
      <c r="L24" s="883"/>
      <c r="M24" s="883"/>
      <c r="N24" s="883"/>
      <c r="O24" s="883"/>
      <c r="P24" s="883"/>
      <c r="Q24" s="884"/>
    </row>
    <row r="25" spans="1:17" ht="16.899999999999999" customHeight="1" x14ac:dyDescent="0.2">
      <c r="A25" s="231" t="s">
        <v>368</v>
      </c>
      <c r="B25" s="883" t="s">
        <v>381</v>
      </c>
      <c r="C25" s="883"/>
      <c r="D25" s="883"/>
      <c r="E25" s="883"/>
      <c r="F25" s="883"/>
      <c r="G25" s="883"/>
      <c r="H25" s="883"/>
      <c r="I25" s="883"/>
      <c r="J25" s="883"/>
      <c r="K25" s="236" t="s">
        <v>396</v>
      </c>
      <c r="L25" s="228" t="s">
        <v>74</v>
      </c>
      <c r="M25" s="239"/>
      <c r="N25" s="113" t="s">
        <v>394</v>
      </c>
      <c r="O25" s="228"/>
      <c r="P25" s="228"/>
      <c r="Q25" s="227"/>
    </row>
    <row r="26" spans="1:17" ht="16.899999999999999" customHeight="1" x14ac:dyDescent="0.2">
      <c r="A26" s="231" t="s">
        <v>363</v>
      </c>
      <c r="B26" s="883" t="s">
        <v>364</v>
      </c>
      <c r="C26" s="883"/>
      <c r="D26" s="883"/>
      <c r="E26" s="883"/>
      <c r="F26" s="883"/>
      <c r="G26" s="883"/>
      <c r="H26" s="883"/>
      <c r="I26" s="883"/>
      <c r="J26" s="883"/>
      <c r="K26" s="883"/>
      <c r="L26" s="883"/>
      <c r="M26" s="883"/>
      <c r="N26" s="883"/>
      <c r="O26" s="883"/>
      <c r="P26" s="883"/>
      <c r="Q26" s="884"/>
    </row>
    <row r="27" spans="1:17" ht="16.899999999999999" customHeight="1" x14ac:dyDescent="0.2">
      <c r="A27" s="232"/>
      <c r="B27" s="926" t="s">
        <v>365</v>
      </c>
      <c r="C27" s="926"/>
      <c r="D27" s="926"/>
      <c r="E27" s="926"/>
      <c r="F27" s="926"/>
      <c r="G27" s="926"/>
      <c r="H27" s="928">
        <v>41456</v>
      </c>
      <c r="I27" s="929"/>
      <c r="J27" s="230" t="s">
        <v>366</v>
      </c>
      <c r="K27" s="930">
        <v>41820</v>
      </c>
      <c r="L27" s="931"/>
      <c r="M27" s="883" t="s">
        <v>367</v>
      </c>
      <c r="N27" s="883"/>
      <c r="O27" s="9"/>
      <c r="P27" s="228"/>
      <c r="Q27" s="227"/>
    </row>
    <row r="28" spans="1:17" ht="16.899999999999999" customHeight="1" x14ac:dyDescent="0.2">
      <c r="A28" s="231" t="s">
        <v>369</v>
      </c>
      <c r="B28" s="883" t="s">
        <v>378</v>
      </c>
      <c r="C28" s="883"/>
      <c r="D28" s="883"/>
      <c r="E28" s="236"/>
      <c r="F28" s="228" t="s">
        <v>380</v>
      </c>
      <c r="G28" s="236" t="s">
        <v>396</v>
      </c>
      <c r="H28" s="883" t="s">
        <v>393</v>
      </c>
      <c r="I28" s="883"/>
      <c r="J28" s="927" t="s">
        <v>398</v>
      </c>
      <c r="K28" s="927"/>
      <c r="L28" s="927"/>
      <c r="M28" s="885" t="s">
        <v>392</v>
      </c>
      <c r="N28" s="885"/>
      <c r="O28" s="885"/>
      <c r="P28" s="918">
        <v>0.48</v>
      </c>
      <c r="Q28" s="919"/>
    </row>
    <row r="29" spans="1:17" ht="16.899999999999999" customHeight="1" x14ac:dyDescent="0.2">
      <c r="A29" s="232"/>
      <c r="B29" s="883" t="s">
        <v>395</v>
      </c>
      <c r="C29" s="883"/>
      <c r="D29" s="883"/>
      <c r="E29" s="883"/>
      <c r="F29" s="883"/>
      <c r="G29" s="883"/>
      <c r="H29" s="883"/>
      <c r="I29" s="883"/>
      <c r="J29" s="883"/>
      <c r="K29" s="883"/>
      <c r="L29" s="883"/>
      <c r="M29" s="883"/>
      <c r="N29" s="883"/>
      <c r="O29" s="883"/>
      <c r="P29" s="883"/>
      <c r="Q29" s="884"/>
    </row>
    <row r="30" spans="1:17" ht="16.899999999999999" customHeight="1" x14ac:dyDescent="0.2">
      <c r="A30" s="232"/>
      <c r="B30" s="236"/>
      <c r="C30" s="883" t="s">
        <v>379</v>
      </c>
      <c r="D30" s="883"/>
      <c r="E30" s="883"/>
      <c r="F30" s="883"/>
      <c r="G30" s="883"/>
      <c r="H30" s="883"/>
      <c r="I30" s="883"/>
      <c r="J30" s="883"/>
      <c r="K30" s="883"/>
      <c r="L30" s="883"/>
      <c r="M30" s="883"/>
      <c r="N30" s="883"/>
      <c r="O30" s="883"/>
      <c r="P30" s="883"/>
      <c r="Q30" s="884"/>
    </row>
    <row r="31" spans="1:17" ht="16.899999999999999" customHeight="1" x14ac:dyDescent="0.2">
      <c r="A31" s="232"/>
      <c r="B31" s="236"/>
      <c r="C31" s="916" t="s">
        <v>391</v>
      </c>
      <c r="D31" s="916"/>
      <c r="E31" s="916"/>
      <c r="F31" s="916"/>
      <c r="G31" s="916"/>
      <c r="H31" s="916"/>
      <c r="I31" s="916"/>
      <c r="J31" s="916"/>
      <c r="K31" s="916"/>
      <c r="L31" s="916"/>
      <c r="M31" s="916"/>
      <c r="N31" s="916"/>
      <c r="O31" s="916"/>
      <c r="P31" s="916"/>
      <c r="Q31" s="917"/>
    </row>
    <row r="32" spans="1:17" ht="16.899999999999999" customHeight="1" x14ac:dyDescent="0.2">
      <c r="A32" s="232"/>
      <c r="B32" s="237"/>
      <c r="C32" s="916" t="s">
        <v>397</v>
      </c>
      <c r="D32" s="916"/>
      <c r="E32" s="916"/>
      <c r="F32" s="916"/>
      <c r="G32" s="916"/>
      <c r="H32" s="916"/>
      <c r="I32" s="916"/>
      <c r="J32" s="916"/>
      <c r="K32" s="916"/>
      <c r="L32" s="916"/>
      <c r="M32" s="916"/>
      <c r="N32" s="916"/>
      <c r="O32" s="916"/>
      <c r="P32" s="916"/>
      <c r="Q32" s="917"/>
    </row>
    <row r="33" spans="1:17" ht="16.899999999999999" customHeight="1" thickBot="1" x14ac:dyDescent="0.25">
      <c r="A33" s="233"/>
      <c r="B33" s="234"/>
      <c r="C33" s="225"/>
      <c r="D33" s="225"/>
      <c r="E33" s="225"/>
      <c r="F33" s="225"/>
      <c r="G33" s="225"/>
      <c r="H33" s="225"/>
      <c r="I33" s="225"/>
      <c r="J33" s="225"/>
      <c r="K33" s="225"/>
      <c r="L33" s="225"/>
      <c r="M33" s="225"/>
      <c r="N33" s="225"/>
      <c r="O33" s="225"/>
      <c r="P33" s="225"/>
      <c r="Q33" s="226"/>
    </row>
    <row r="34" spans="1:17" ht="16.899999999999999" customHeight="1" thickTop="1" x14ac:dyDescent="0.2"/>
    <row r="35" spans="1:17" ht="16.899999999999999" customHeight="1" x14ac:dyDescent="0.2"/>
    <row r="36" spans="1:17" ht="16.899999999999999" customHeight="1" x14ac:dyDescent="0.2"/>
  </sheetData>
  <sheetProtection algorithmName="SHA-512" hashValue="VeaOHii0RK55fLkpgcxzlhXWanwSaoJiDjQkTBAcfXLDQHzHGZCg+JNwFo58kTcwgnUJmxo4C2IA5yFMDkrZlw==" saltValue="HShB8bFUQpEtgqelCh4KQw==" spinCount="100000" sheet="1" objects="1" scenarios="1"/>
  <mergeCells count="125">
    <mergeCell ref="I4:Q6"/>
    <mergeCell ref="A4:H4"/>
    <mergeCell ref="A5:H6"/>
    <mergeCell ref="C30:Q30"/>
    <mergeCell ref="C32:Q32"/>
    <mergeCell ref="C31:Q31"/>
    <mergeCell ref="P28:Q28"/>
    <mergeCell ref="M27:N27"/>
    <mergeCell ref="N1:Q1"/>
    <mergeCell ref="N2:Q2"/>
    <mergeCell ref="N3:Q3"/>
    <mergeCell ref="B26:Q26"/>
    <mergeCell ref="B27:G27"/>
    <mergeCell ref="B28:D28"/>
    <mergeCell ref="H28:I28"/>
    <mergeCell ref="J28:L28"/>
    <mergeCell ref="H27:I27"/>
    <mergeCell ref="K27:L27"/>
    <mergeCell ref="A2:M2"/>
    <mergeCell ref="A1:M1"/>
    <mergeCell ref="A9:E10"/>
    <mergeCell ref="B23:Q23"/>
    <mergeCell ref="B24:Q24"/>
    <mergeCell ref="B25:J25"/>
    <mergeCell ref="A7:Q7"/>
    <mergeCell ref="A8:Q8"/>
    <mergeCell ref="P9:Q9"/>
    <mergeCell ref="B11:E11"/>
    <mergeCell ref="B12:E12"/>
    <mergeCell ref="B22:E22"/>
    <mergeCell ref="B21:E21"/>
    <mergeCell ref="B20:E20"/>
    <mergeCell ref="B19:E19"/>
    <mergeCell ref="B18:E18"/>
    <mergeCell ref="B17:E17"/>
    <mergeCell ref="P15:Q15"/>
    <mergeCell ref="P14:Q14"/>
    <mergeCell ref="P13:Q13"/>
    <mergeCell ref="P12:Q12"/>
    <mergeCell ref="P11:Q11"/>
    <mergeCell ref="P10:Q10"/>
    <mergeCell ref="N11:O11"/>
    <mergeCell ref="N10:O10"/>
    <mergeCell ref="N9:O9"/>
    <mergeCell ref="P22:Q22"/>
    <mergeCell ref="P21:Q21"/>
    <mergeCell ref="P20:Q20"/>
    <mergeCell ref="P19:Q19"/>
    <mergeCell ref="P18:Q18"/>
    <mergeCell ref="P17:Q17"/>
    <mergeCell ref="P16:Q16"/>
    <mergeCell ref="N17:O17"/>
    <mergeCell ref="N16:O16"/>
    <mergeCell ref="N15:O15"/>
    <mergeCell ref="N14:O14"/>
    <mergeCell ref="N13:O13"/>
    <mergeCell ref="N12:O12"/>
    <mergeCell ref="L9:M9"/>
    <mergeCell ref="N22:O22"/>
    <mergeCell ref="N21:O21"/>
    <mergeCell ref="N20:O20"/>
    <mergeCell ref="N19:O19"/>
    <mergeCell ref="N18:O18"/>
    <mergeCell ref="L19:M19"/>
    <mergeCell ref="L18:M18"/>
    <mergeCell ref="L17:M17"/>
    <mergeCell ref="L16:M16"/>
    <mergeCell ref="L15:M15"/>
    <mergeCell ref="L14:M14"/>
    <mergeCell ref="J22:K22"/>
    <mergeCell ref="J21:K21"/>
    <mergeCell ref="J20:K20"/>
    <mergeCell ref="L22:M22"/>
    <mergeCell ref="L21:M21"/>
    <mergeCell ref="L20:M20"/>
    <mergeCell ref="J10:K10"/>
    <mergeCell ref="J13:K13"/>
    <mergeCell ref="J12:K12"/>
    <mergeCell ref="J11:K11"/>
    <mergeCell ref="J19:K19"/>
    <mergeCell ref="J18:K18"/>
    <mergeCell ref="J17:K17"/>
    <mergeCell ref="J16:K16"/>
    <mergeCell ref="J15:K15"/>
    <mergeCell ref="J14:K14"/>
    <mergeCell ref="L13:M13"/>
    <mergeCell ref="L12:M12"/>
    <mergeCell ref="L11:M11"/>
    <mergeCell ref="L10:M10"/>
    <mergeCell ref="F16:G16"/>
    <mergeCell ref="F15:G15"/>
    <mergeCell ref="F14:G14"/>
    <mergeCell ref="F13:G13"/>
    <mergeCell ref="F12:G12"/>
    <mergeCell ref="F11:G11"/>
    <mergeCell ref="F22:G22"/>
    <mergeCell ref="F21:G21"/>
    <mergeCell ref="F20:G20"/>
    <mergeCell ref="F19:G19"/>
    <mergeCell ref="F18:G18"/>
    <mergeCell ref="F17:G17"/>
    <mergeCell ref="A3:M3"/>
    <mergeCell ref="B29:Q29"/>
    <mergeCell ref="M28:O28"/>
    <mergeCell ref="H22:I22"/>
    <mergeCell ref="H21:I21"/>
    <mergeCell ref="B16:E16"/>
    <mergeCell ref="B15:E15"/>
    <mergeCell ref="B14:E14"/>
    <mergeCell ref="B13:E13"/>
    <mergeCell ref="F9:G9"/>
    <mergeCell ref="F10:G10"/>
    <mergeCell ref="J9:K9"/>
    <mergeCell ref="H14:I14"/>
    <mergeCell ref="H13:I13"/>
    <mergeCell ref="H12:I12"/>
    <mergeCell ref="H11:I11"/>
    <mergeCell ref="H10:I10"/>
    <mergeCell ref="H9:I9"/>
    <mergeCell ref="H20:I20"/>
    <mergeCell ref="H19:I19"/>
    <mergeCell ref="H18:I18"/>
    <mergeCell ref="H17:I17"/>
    <mergeCell ref="H16:I16"/>
    <mergeCell ref="H15:I15"/>
  </mergeCells>
  <pageMargins left="0.5" right="0.5" top="0.5" bottom="0.25" header="0.5" footer="0.25"/>
  <pageSetup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49"/>
  <sheetViews>
    <sheetView workbookViewId="0">
      <selection activeCell="C4" sqref="C4"/>
    </sheetView>
  </sheetViews>
  <sheetFormatPr defaultRowHeight="12.75" x14ac:dyDescent="0.2"/>
  <cols>
    <col min="1" max="1" width="9.5703125" customWidth="1"/>
  </cols>
  <sheetData>
    <row r="1" spans="1:1" s="453" customFormat="1" x14ac:dyDescent="0.2">
      <c r="A1" s="127">
        <v>42831</v>
      </c>
    </row>
    <row r="2" spans="1:1" s="453" customFormat="1" x14ac:dyDescent="0.2">
      <c r="A2" s="453" t="s">
        <v>503</v>
      </c>
    </row>
    <row r="3" spans="1:1" s="453" customFormat="1" x14ac:dyDescent="0.2"/>
    <row r="4" spans="1:1" s="452" customFormat="1" x14ac:dyDescent="0.2">
      <c r="A4" s="127">
        <v>42767</v>
      </c>
    </row>
    <row r="5" spans="1:1" s="452" customFormat="1" x14ac:dyDescent="0.2">
      <c r="A5" s="253" t="s">
        <v>502</v>
      </c>
    </row>
    <row r="6" spans="1:1" s="452" customFormat="1" x14ac:dyDescent="0.2"/>
    <row r="7" spans="1:1" s="451" customFormat="1" x14ac:dyDescent="0.2">
      <c r="A7" s="127">
        <v>42425</v>
      </c>
    </row>
    <row r="8" spans="1:1" s="451" customFormat="1" x14ac:dyDescent="0.2">
      <c r="A8" s="451" t="s">
        <v>500</v>
      </c>
    </row>
    <row r="9" spans="1:1" s="451" customFormat="1" x14ac:dyDescent="0.2">
      <c r="A9" s="451" t="s">
        <v>501</v>
      </c>
    </row>
    <row r="10" spans="1:1" s="451" customFormat="1" x14ac:dyDescent="0.2"/>
    <row r="11" spans="1:1" s="450" customFormat="1" x14ac:dyDescent="0.2">
      <c r="A11" s="127">
        <v>42375</v>
      </c>
    </row>
    <row r="12" spans="1:1" s="450" customFormat="1" x14ac:dyDescent="0.2">
      <c r="A12" s="450" t="s">
        <v>499</v>
      </c>
    </row>
    <row r="13" spans="1:1" s="450" customFormat="1" x14ac:dyDescent="0.2"/>
    <row r="14" spans="1:1" s="449" customFormat="1" x14ac:dyDescent="0.2">
      <c r="A14" s="127">
        <v>42193</v>
      </c>
    </row>
    <row r="15" spans="1:1" s="449" customFormat="1" x14ac:dyDescent="0.2">
      <c r="A15" s="449" t="s">
        <v>497</v>
      </c>
    </row>
    <row r="16" spans="1:1" s="449" customFormat="1" x14ac:dyDescent="0.2"/>
    <row r="17" spans="1:1" s="447" customFormat="1" x14ac:dyDescent="0.2">
      <c r="A17" s="127">
        <v>42192</v>
      </c>
    </row>
    <row r="18" spans="1:1" s="447" customFormat="1" x14ac:dyDescent="0.2">
      <c r="A18" s="447" t="s">
        <v>493</v>
      </c>
    </row>
    <row r="19" spans="1:1" s="447" customFormat="1" x14ac:dyDescent="0.2"/>
    <row r="20" spans="1:1" s="446" customFormat="1" x14ac:dyDescent="0.2">
      <c r="A20" s="127">
        <v>42094</v>
      </c>
    </row>
    <row r="21" spans="1:1" s="446" customFormat="1" x14ac:dyDescent="0.2">
      <c r="A21" s="446" t="s">
        <v>492</v>
      </c>
    </row>
    <row r="22" spans="1:1" s="446" customFormat="1" x14ac:dyDescent="0.2">
      <c r="A22" s="446" t="s">
        <v>491</v>
      </c>
    </row>
    <row r="23" spans="1:1" s="446" customFormat="1" x14ac:dyDescent="0.2"/>
    <row r="24" spans="1:1" s="438" customFormat="1" x14ac:dyDescent="0.2">
      <c r="A24" s="127">
        <v>42047</v>
      </c>
    </row>
    <row r="25" spans="1:1" s="438" customFormat="1" x14ac:dyDescent="0.2">
      <c r="A25" s="438" t="s">
        <v>490</v>
      </c>
    </row>
    <row r="26" spans="1:1" s="438" customFormat="1" x14ac:dyDescent="0.2"/>
    <row r="27" spans="1:1" s="437" customFormat="1" x14ac:dyDescent="0.2">
      <c r="A27" s="127">
        <v>42037</v>
      </c>
    </row>
    <row r="28" spans="1:1" s="437" customFormat="1" x14ac:dyDescent="0.2">
      <c r="A28" s="437" t="s">
        <v>489</v>
      </c>
    </row>
    <row r="29" spans="1:1" s="437" customFormat="1" x14ac:dyDescent="0.2"/>
    <row r="30" spans="1:1" s="430" customFormat="1" x14ac:dyDescent="0.2">
      <c r="A30" s="127">
        <v>42034</v>
      </c>
    </row>
    <row r="31" spans="1:1" s="430" customFormat="1" x14ac:dyDescent="0.2">
      <c r="A31" s="430" t="s">
        <v>487</v>
      </c>
    </row>
    <row r="32" spans="1:1" s="430" customFormat="1" x14ac:dyDescent="0.2">
      <c r="A32" s="430" t="s">
        <v>488</v>
      </c>
    </row>
    <row r="33" spans="1:1" s="430" customFormat="1" x14ac:dyDescent="0.2"/>
    <row r="34" spans="1:1" s="256" customFormat="1" x14ac:dyDescent="0.2">
      <c r="A34" s="127">
        <v>41681</v>
      </c>
    </row>
    <row r="35" spans="1:1" s="256" customFormat="1" x14ac:dyDescent="0.2">
      <c r="A35" s="253" t="s">
        <v>410</v>
      </c>
    </row>
    <row r="36" spans="1:1" s="256" customFormat="1" x14ac:dyDescent="0.2"/>
    <row r="37" spans="1:1" s="255" customFormat="1" x14ac:dyDescent="0.2">
      <c r="A37" s="127">
        <v>41674</v>
      </c>
    </row>
    <row r="38" spans="1:1" s="255" customFormat="1" x14ac:dyDescent="0.2">
      <c r="A38" s="255" t="s">
        <v>408</v>
      </c>
    </row>
    <row r="39" spans="1:1" s="255" customFormat="1" x14ac:dyDescent="0.2">
      <c r="A39" s="255" t="s">
        <v>409</v>
      </c>
    </row>
    <row r="40" spans="1:1" s="255" customFormat="1" x14ac:dyDescent="0.2"/>
    <row r="41" spans="1:1" x14ac:dyDescent="0.2">
      <c r="A41" s="127">
        <v>40645</v>
      </c>
    </row>
    <row r="42" spans="1:1" x14ac:dyDescent="0.2">
      <c r="A42" s="192" t="s">
        <v>400</v>
      </c>
    </row>
    <row r="43" spans="1:1" s="221" customFormat="1" x14ac:dyDescent="0.2">
      <c r="A43" s="192" t="s">
        <v>403</v>
      </c>
    </row>
    <row r="45" spans="1:1" x14ac:dyDescent="0.2">
      <c r="A45" s="127">
        <v>40641</v>
      </c>
    </row>
    <row r="46" spans="1:1" x14ac:dyDescent="0.2">
      <c r="A46" s="192" t="s">
        <v>401</v>
      </c>
    </row>
    <row r="48" spans="1:1" x14ac:dyDescent="0.2">
      <c r="A48" s="127">
        <v>40632</v>
      </c>
    </row>
    <row r="49" spans="1:1" x14ac:dyDescent="0.2">
      <c r="A49" s="192" t="s">
        <v>402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D61"/>
  <sheetViews>
    <sheetView topLeftCell="A13" zoomScaleNormal="100" workbookViewId="0">
      <selection sqref="A1:N1"/>
    </sheetView>
  </sheetViews>
  <sheetFormatPr defaultRowHeight="12.75" x14ac:dyDescent="0.2"/>
  <cols>
    <col min="1" max="1" width="3" bestFit="1" customWidth="1"/>
    <col min="2" max="2" width="6.5703125" customWidth="1"/>
    <col min="3" max="3" width="18.7109375" customWidth="1"/>
    <col min="4" max="4" width="9.28515625" customWidth="1"/>
    <col min="5" max="5" width="18.7109375" customWidth="1"/>
    <col min="6" max="6" width="6.28515625" customWidth="1"/>
    <col min="7" max="7" width="18.85546875" customWidth="1"/>
    <col min="8" max="8" width="10.5703125" customWidth="1"/>
    <col min="9" max="11" width="7.42578125" customWidth="1"/>
    <col min="12" max="14" width="10.5703125" customWidth="1"/>
    <col min="15" max="15" width="30.42578125" customWidth="1"/>
    <col min="16" max="16" width="42.42578125" style="264" customWidth="1"/>
    <col min="17" max="30" width="9.140625" style="336"/>
  </cols>
  <sheetData>
    <row r="1" spans="1:27" ht="18" x14ac:dyDescent="0.25">
      <c r="A1" s="561" t="s">
        <v>507</v>
      </c>
      <c r="B1" s="561"/>
      <c r="C1" s="561"/>
      <c r="D1" s="561"/>
      <c r="E1" s="561"/>
      <c r="F1" s="561"/>
      <c r="G1" s="561"/>
      <c r="H1" s="561"/>
      <c r="I1" s="561"/>
      <c r="J1" s="561"/>
      <c r="K1" s="561"/>
      <c r="L1" s="561"/>
      <c r="M1" s="561"/>
      <c r="N1" s="561"/>
    </row>
    <row r="2" spans="1:27" x14ac:dyDescent="0.2">
      <c r="A2" s="1"/>
      <c r="B2" s="1"/>
      <c r="C2" s="1"/>
      <c r="D2" s="1"/>
      <c r="E2" s="1"/>
      <c r="F2" s="1"/>
      <c r="G2" s="1"/>
      <c r="H2" s="1"/>
      <c r="I2" s="1"/>
      <c r="J2" s="1"/>
      <c r="K2" s="1"/>
      <c r="L2" s="1"/>
      <c r="M2" s="1"/>
      <c r="N2" s="1"/>
    </row>
    <row r="3" spans="1:27" ht="18" x14ac:dyDescent="0.25">
      <c r="A3" s="561" t="s">
        <v>76</v>
      </c>
      <c r="B3" s="561"/>
      <c r="C3" s="561"/>
      <c r="D3" s="561"/>
      <c r="E3" s="561"/>
      <c r="F3" s="561"/>
      <c r="G3" s="561"/>
      <c r="H3" s="561"/>
      <c r="I3" s="561"/>
      <c r="J3" s="561"/>
      <c r="K3" s="561"/>
      <c r="L3" s="561"/>
      <c r="M3" s="561"/>
      <c r="N3" s="561"/>
    </row>
    <row r="4" spans="1:27" ht="18" x14ac:dyDescent="0.25">
      <c r="A4" s="63"/>
      <c r="B4" s="604"/>
      <c r="C4" s="604"/>
      <c r="D4" s="604"/>
      <c r="E4" s="604"/>
      <c r="F4" s="604"/>
      <c r="G4" s="604"/>
      <c r="H4" s="604"/>
      <c r="I4" s="142"/>
      <c r="J4" s="564" t="s">
        <v>123</v>
      </c>
      <c r="K4" s="564"/>
      <c r="L4" s="567"/>
      <c r="M4" s="568"/>
      <c r="N4" s="471"/>
      <c r="O4" s="333" t="s">
        <v>449</v>
      </c>
      <c r="P4" s="5"/>
    </row>
    <row r="5" spans="1:27" ht="13.5" thickBot="1" x14ac:dyDescent="0.25">
      <c r="A5" s="2"/>
      <c r="B5" s="562" t="s">
        <v>5</v>
      </c>
      <c r="C5" s="562"/>
      <c r="D5" s="64">
        <v>0.03</v>
      </c>
      <c r="E5" s="67" t="s">
        <v>103</v>
      </c>
      <c r="F5" s="2"/>
      <c r="G5" s="73" t="s">
        <v>104</v>
      </c>
      <c r="H5" s="141">
        <v>44713</v>
      </c>
      <c r="I5" s="76"/>
      <c r="J5" s="140">
        <v>2</v>
      </c>
      <c r="K5" s="5" t="s">
        <v>124</v>
      </c>
      <c r="L5" s="565" t="s">
        <v>109</v>
      </c>
      <c r="M5" s="566"/>
      <c r="N5" s="470" t="s">
        <v>241</v>
      </c>
      <c r="O5" s="334">
        <v>0</v>
      </c>
      <c r="P5" s="318"/>
    </row>
    <row r="6" spans="1:27" ht="26.25" thickBot="1" x14ac:dyDescent="0.25">
      <c r="A6" s="2"/>
      <c r="B6" s="3" t="s">
        <v>0</v>
      </c>
      <c r="C6" s="3" t="s">
        <v>1</v>
      </c>
      <c r="D6" s="3" t="s">
        <v>2</v>
      </c>
      <c r="E6" s="3" t="s">
        <v>3</v>
      </c>
      <c r="F6" s="3" t="s">
        <v>4</v>
      </c>
      <c r="G6" s="3" t="s">
        <v>42</v>
      </c>
      <c r="H6" s="3" t="s">
        <v>43</v>
      </c>
      <c r="I6" s="4" t="s">
        <v>60</v>
      </c>
      <c r="J6" s="77" t="s">
        <v>61</v>
      </c>
      <c r="K6" s="3" t="s">
        <v>62</v>
      </c>
      <c r="L6" s="4" t="s">
        <v>44</v>
      </c>
      <c r="M6" s="3" t="s">
        <v>45</v>
      </c>
      <c r="N6" s="3" t="s">
        <v>41</v>
      </c>
      <c r="O6" s="594" t="s">
        <v>253</v>
      </c>
      <c r="P6" s="594"/>
      <c r="Q6" s="335" t="s">
        <v>66</v>
      </c>
      <c r="R6" s="335" t="s">
        <v>67</v>
      </c>
      <c r="S6" s="335" t="s">
        <v>68</v>
      </c>
      <c r="U6" s="335" t="s">
        <v>66</v>
      </c>
      <c r="V6" s="335" t="s">
        <v>67</v>
      </c>
      <c r="W6" s="335" t="s">
        <v>68</v>
      </c>
      <c r="Y6" s="336" t="s">
        <v>464</v>
      </c>
      <c r="Z6" s="336" t="s">
        <v>465</v>
      </c>
    </row>
    <row r="7" spans="1:27" x14ac:dyDescent="0.2">
      <c r="A7" s="5">
        <v>1</v>
      </c>
      <c r="B7" s="28"/>
      <c r="C7" s="326"/>
      <c r="D7" s="17" t="s">
        <v>462</v>
      </c>
      <c r="E7" s="326"/>
      <c r="F7" s="17"/>
      <c r="G7" s="17"/>
      <c r="H7" s="66"/>
      <c r="I7" s="17"/>
      <c r="J7" s="17"/>
      <c r="K7" s="17"/>
      <c r="L7" s="343" t="str">
        <f>IF(NOT(OR(ISBLANK(H7),H7="")), IF(OR(AND(ISBLANK(I7),ISBLANK(J7),ISBLANK(K7)),AND(I7="",J7="",K7="")),0, IF((AND((I7&gt;0),((J7+K7)&gt;0))),"Error", IF((I7&gt;0),ROUND(((H7*I7)/12),2),ROUND((H7*(J7+K7))/8.5,2)))),"")</f>
        <v/>
      </c>
      <c r="M7" s="45" t="str">
        <f>IF(ISBLANK(H7),"",ROUND(SUM(U7:W7),2))</f>
        <v/>
      </c>
      <c r="N7" s="319" t="str">
        <f>IF(ISBLANK(H7),"",ROUND(SUM(L7:M7),2))</f>
        <v/>
      </c>
      <c r="O7" s="595"/>
      <c r="P7" s="596"/>
      <c r="Q7" s="336">
        <f t="shared" ref="Q7:Q14" si="0">(H7/12)*I7</f>
        <v>0</v>
      </c>
      <c r="R7" s="337">
        <f>(H7/8.5)*J7</f>
        <v>0</v>
      </c>
      <c r="S7" s="336">
        <f>(H7/8.5)*K7</f>
        <v>0</v>
      </c>
      <c r="U7" s="336">
        <f t="shared" ref="U7:U14" si="1">Q7*LOOKUP("Full",Ben,Per)</f>
        <v>0</v>
      </c>
      <c r="V7" s="336">
        <f t="shared" ref="V7:V14" si="2">R7*LOOKUP("Full",Ben,Per)</f>
        <v>0</v>
      </c>
      <c r="W7" s="336">
        <f t="shared" ref="W7:W14" si="3">S7*LOOKUP("Summer",Ben,Per)</f>
        <v>0</v>
      </c>
      <c r="X7" s="336" t="s">
        <v>467</v>
      </c>
      <c r="Y7" s="336" t="b">
        <f t="shared" ref="Y7:Y14" si="4">IF(OR($N$5&lt;&gt;"Federal - NIH",OR(AND(ISBLANK(I7),ISBLANK(J7),ISBLANK(K7)),AND(I7="",J7="",K7=""))),FALSE,IF(I7&gt;0,H7&gt;NIHSalaryCap,H7&gt;(NIHSalaryCap*8.5)/12))</f>
        <v>0</v>
      </c>
      <c r="Z7" s="336" t="b">
        <f t="shared" ref="Z7:Z14" si="5">IF(AND($N$5="Federal - NIH",OR(NOT(ISBLANK(I7)),NOT(ISBLANK(J7)),NOT(ISBLANK(K7)),I7&lt;&gt;"",J7&lt;&gt;"",K7&lt;&gt;"")),IF(I7&gt;0,H7&lt;=NIHSalaryCap,H7&lt;=(NIHSalaryCap*8.5)/12),TRUE)</f>
        <v>1</v>
      </c>
      <c r="AA7" s="336" t="s">
        <v>498</v>
      </c>
    </row>
    <row r="8" spans="1:27" x14ac:dyDescent="0.2">
      <c r="A8" s="5">
        <v>2</v>
      </c>
      <c r="B8" s="6"/>
      <c r="C8" s="454"/>
      <c r="D8" s="22"/>
      <c r="E8" s="22"/>
      <c r="F8" s="22"/>
      <c r="G8" s="70"/>
      <c r="H8" s="42"/>
      <c r="I8" s="21"/>
      <c r="J8" s="21"/>
      <c r="K8" s="21"/>
      <c r="L8" s="344" t="str">
        <f t="shared" ref="L8:L14" si="6">IF(NOT(OR(ISBLANK(H8),H8="")), IF(OR(AND(ISBLANK(I8),ISBLANK(J8),ISBLANK(K8)),AND(I8="",J8="",K8="")),0, IF((AND((I8&gt;0),((J8+K8)&gt;0))),"Error", IF((I8&gt;0),ROUND(((H8*I8)/12),2),ROUND((H8*(J8+K8))/8.5,2)))),"")</f>
        <v/>
      </c>
      <c r="M8" s="44" t="str">
        <f t="shared" ref="M8:M14" si="7">IF(ISBLANK(H8),"",ROUND(SUM(U8:W8),2))</f>
        <v/>
      </c>
      <c r="N8" s="273" t="str">
        <f t="shared" ref="N8:N14" si="8">IF(ISBLANK(H8),"",ROUND(SUM(L8:M8),2))</f>
        <v/>
      </c>
      <c r="O8" s="592"/>
      <c r="P8" s="593"/>
      <c r="Q8" s="336">
        <f t="shared" si="0"/>
        <v>0</v>
      </c>
      <c r="R8" s="337">
        <f t="shared" ref="R8:R14" si="9">(H8/8.5)*J8</f>
        <v>0</v>
      </c>
      <c r="S8" s="336">
        <f t="shared" ref="S8:S14" si="10">(H8/8.5)*K8</f>
        <v>0</v>
      </c>
      <c r="U8" s="336">
        <f t="shared" si="1"/>
        <v>0</v>
      </c>
      <c r="V8" s="336">
        <f t="shared" si="2"/>
        <v>0</v>
      </c>
      <c r="W8" s="336">
        <f t="shared" si="3"/>
        <v>0</v>
      </c>
      <c r="X8" s="336" t="s">
        <v>467</v>
      </c>
      <c r="Y8" s="336" t="b">
        <f t="shared" si="4"/>
        <v>0</v>
      </c>
      <c r="Z8" s="336" t="b">
        <f t="shared" si="5"/>
        <v>1</v>
      </c>
      <c r="AA8" s="336" t="s">
        <v>498</v>
      </c>
    </row>
    <row r="9" spans="1:27" x14ac:dyDescent="0.2">
      <c r="A9" s="5">
        <v>3</v>
      </c>
      <c r="B9" s="6"/>
      <c r="C9" s="22"/>
      <c r="D9" s="22"/>
      <c r="E9" s="22"/>
      <c r="F9" s="22"/>
      <c r="G9" s="22"/>
      <c r="H9" s="42"/>
      <c r="I9" s="21"/>
      <c r="J9" s="21"/>
      <c r="K9" s="21"/>
      <c r="L9" s="344" t="str">
        <f t="shared" si="6"/>
        <v/>
      </c>
      <c r="M9" s="44" t="str">
        <f t="shared" si="7"/>
        <v/>
      </c>
      <c r="N9" s="273" t="str">
        <f t="shared" si="8"/>
        <v/>
      </c>
      <c r="O9" s="592"/>
      <c r="P9" s="593"/>
      <c r="Q9" s="336">
        <f t="shared" si="0"/>
        <v>0</v>
      </c>
      <c r="R9" s="337">
        <f t="shared" si="9"/>
        <v>0</v>
      </c>
      <c r="S9" s="336">
        <f t="shared" si="10"/>
        <v>0</v>
      </c>
      <c r="U9" s="336">
        <f t="shared" si="1"/>
        <v>0</v>
      </c>
      <c r="V9" s="336">
        <f t="shared" si="2"/>
        <v>0</v>
      </c>
      <c r="W9" s="336">
        <f t="shared" si="3"/>
        <v>0</v>
      </c>
      <c r="X9" s="336" t="s">
        <v>467</v>
      </c>
      <c r="Y9" s="336" t="b">
        <f t="shared" si="4"/>
        <v>0</v>
      </c>
      <c r="Z9" s="336" t="b">
        <f t="shared" si="5"/>
        <v>1</v>
      </c>
      <c r="AA9" s="336" t="s">
        <v>498</v>
      </c>
    </row>
    <row r="10" spans="1:27" x14ac:dyDescent="0.2">
      <c r="A10" s="5">
        <v>4</v>
      </c>
      <c r="B10" s="6"/>
      <c r="C10" s="22"/>
      <c r="D10" s="22"/>
      <c r="E10" s="22"/>
      <c r="F10" s="22"/>
      <c r="G10" s="70"/>
      <c r="H10" s="42"/>
      <c r="I10" s="21"/>
      <c r="J10" s="21"/>
      <c r="K10" s="21"/>
      <c r="L10" s="344" t="str">
        <f t="shared" si="6"/>
        <v/>
      </c>
      <c r="M10" s="44" t="str">
        <f t="shared" si="7"/>
        <v/>
      </c>
      <c r="N10" s="273" t="str">
        <f t="shared" si="8"/>
        <v/>
      </c>
      <c r="O10" s="592"/>
      <c r="P10" s="593"/>
      <c r="Q10" s="336">
        <f t="shared" si="0"/>
        <v>0</v>
      </c>
      <c r="R10" s="337">
        <f t="shared" si="9"/>
        <v>0</v>
      </c>
      <c r="S10" s="336">
        <f t="shared" si="10"/>
        <v>0</v>
      </c>
      <c r="U10" s="336">
        <f t="shared" si="1"/>
        <v>0</v>
      </c>
      <c r="V10" s="336">
        <f t="shared" si="2"/>
        <v>0</v>
      </c>
      <c r="W10" s="336">
        <f t="shared" si="3"/>
        <v>0</v>
      </c>
      <c r="X10" s="336" t="s">
        <v>467</v>
      </c>
      <c r="Y10" s="336" t="b">
        <f t="shared" si="4"/>
        <v>0</v>
      </c>
      <c r="Z10" s="336" t="b">
        <f t="shared" si="5"/>
        <v>1</v>
      </c>
      <c r="AA10" s="336" t="s">
        <v>498</v>
      </c>
    </row>
    <row r="11" spans="1:27" x14ac:dyDescent="0.2">
      <c r="A11" s="5">
        <v>5</v>
      </c>
      <c r="B11" s="6"/>
      <c r="C11" s="22"/>
      <c r="D11" s="22"/>
      <c r="E11" s="22"/>
      <c r="F11" s="22"/>
      <c r="G11" s="71"/>
      <c r="H11" s="42"/>
      <c r="I11" s="21"/>
      <c r="J11" s="21"/>
      <c r="K11" s="21"/>
      <c r="L11" s="344" t="str">
        <f t="shared" si="6"/>
        <v/>
      </c>
      <c r="M11" s="44" t="str">
        <f t="shared" si="7"/>
        <v/>
      </c>
      <c r="N11" s="273" t="str">
        <f t="shared" si="8"/>
        <v/>
      </c>
      <c r="O11" s="592"/>
      <c r="P11" s="593"/>
      <c r="Q11" s="336">
        <f t="shared" si="0"/>
        <v>0</v>
      </c>
      <c r="R11" s="337">
        <f t="shared" si="9"/>
        <v>0</v>
      </c>
      <c r="S11" s="336">
        <f t="shared" si="10"/>
        <v>0</v>
      </c>
      <c r="U11" s="336">
        <f t="shared" si="1"/>
        <v>0</v>
      </c>
      <c r="V11" s="336">
        <f t="shared" si="2"/>
        <v>0</v>
      </c>
      <c r="W11" s="336">
        <f t="shared" si="3"/>
        <v>0</v>
      </c>
      <c r="X11" s="336" t="s">
        <v>467</v>
      </c>
      <c r="Y11" s="336" t="b">
        <f t="shared" si="4"/>
        <v>0</v>
      </c>
      <c r="Z11" s="336" t="b">
        <f t="shared" si="5"/>
        <v>1</v>
      </c>
      <c r="AA11" s="336" t="s">
        <v>498</v>
      </c>
    </row>
    <row r="12" spans="1:27" x14ac:dyDescent="0.2">
      <c r="A12" s="5">
        <v>6</v>
      </c>
      <c r="B12" s="6"/>
      <c r="C12" s="22"/>
      <c r="D12" s="22"/>
      <c r="E12" s="22"/>
      <c r="F12" s="22"/>
      <c r="G12" s="22"/>
      <c r="H12" s="42"/>
      <c r="I12" s="21"/>
      <c r="J12" s="21"/>
      <c r="K12" s="21"/>
      <c r="L12" s="344" t="str">
        <f t="shared" si="6"/>
        <v/>
      </c>
      <c r="M12" s="44" t="str">
        <f t="shared" si="7"/>
        <v/>
      </c>
      <c r="N12" s="273" t="str">
        <f t="shared" si="8"/>
        <v/>
      </c>
      <c r="O12" s="592"/>
      <c r="P12" s="593"/>
      <c r="Q12" s="336">
        <f t="shared" si="0"/>
        <v>0</v>
      </c>
      <c r="R12" s="337">
        <f t="shared" si="9"/>
        <v>0</v>
      </c>
      <c r="S12" s="336">
        <f t="shared" si="10"/>
        <v>0</v>
      </c>
      <c r="U12" s="336">
        <f t="shared" si="1"/>
        <v>0</v>
      </c>
      <c r="V12" s="336">
        <f t="shared" si="2"/>
        <v>0</v>
      </c>
      <c r="W12" s="336">
        <f t="shared" si="3"/>
        <v>0</v>
      </c>
      <c r="X12" s="336" t="s">
        <v>467</v>
      </c>
      <c r="Y12" s="336" t="b">
        <f t="shared" si="4"/>
        <v>0</v>
      </c>
      <c r="Z12" s="336" t="b">
        <f t="shared" si="5"/>
        <v>1</v>
      </c>
      <c r="AA12" s="336" t="s">
        <v>498</v>
      </c>
    </row>
    <row r="13" spans="1:27" x14ac:dyDescent="0.2">
      <c r="A13" s="5">
        <v>7</v>
      </c>
      <c r="B13" s="6"/>
      <c r="C13" s="22"/>
      <c r="D13" s="22"/>
      <c r="E13" s="22"/>
      <c r="F13" s="22"/>
      <c r="G13" s="22"/>
      <c r="H13" s="42"/>
      <c r="I13" s="21"/>
      <c r="J13" s="21"/>
      <c r="K13" s="21"/>
      <c r="L13" s="344" t="str">
        <f t="shared" si="6"/>
        <v/>
      </c>
      <c r="M13" s="44" t="str">
        <f t="shared" si="7"/>
        <v/>
      </c>
      <c r="N13" s="273" t="str">
        <f t="shared" si="8"/>
        <v/>
      </c>
      <c r="O13" s="592"/>
      <c r="P13" s="593"/>
      <c r="Q13" s="336">
        <f t="shared" si="0"/>
        <v>0</v>
      </c>
      <c r="R13" s="337">
        <f t="shared" si="9"/>
        <v>0</v>
      </c>
      <c r="S13" s="336">
        <f t="shared" si="10"/>
        <v>0</v>
      </c>
      <c r="U13" s="336">
        <f t="shared" si="1"/>
        <v>0</v>
      </c>
      <c r="V13" s="336">
        <f t="shared" si="2"/>
        <v>0</v>
      </c>
      <c r="W13" s="336">
        <f t="shared" si="3"/>
        <v>0</v>
      </c>
      <c r="X13" s="336" t="s">
        <v>467</v>
      </c>
      <c r="Y13" s="336" t="b">
        <f t="shared" si="4"/>
        <v>0</v>
      </c>
      <c r="Z13" s="336" t="b">
        <f t="shared" si="5"/>
        <v>1</v>
      </c>
      <c r="AA13" s="336" t="s">
        <v>498</v>
      </c>
    </row>
    <row r="14" spans="1:27" ht="13.5" thickBot="1" x14ac:dyDescent="0.25">
      <c r="A14" s="5">
        <v>8</v>
      </c>
      <c r="B14" s="7"/>
      <c r="C14" s="29"/>
      <c r="D14" s="29"/>
      <c r="E14" s="29"/>
      <c r="F14" s="29"/>
      <c r="G14" s="69"/>
      <c r="H14" s="42"/>
      <c r="I14" s="30"/>
      <c r="J14" s="30"/>
      <c r="K14" s="21"/>
      <c r="L14" s="345" t="str">
        <f t="shared" si="6"/>
        <v/>
      </c>
      <c r="M14" s="49" t="str">
        <f t="shared" si="7"/>
        <v/>
      </c>
      <c r="N14" s="322" t="str">
        <f t="shared" si="8"/>
        <v/>
      </c>
      <c r="O14" s="592"/>
      <c r="P14" s="593"/>
      <c r="Q14" s="336">
        <f t="shared" si="0"/>
        <v>0</v>
      </c>
      <c r="R14" s="337">
        <f t="shared" si="9"/>
        <v>0</v>
      </c>
      <c r="S14" s="336">
        <f t="shared" si="10"/>
        <v>0</v>
      </c>
      <c r="U14" s="336">
        <f t="shared" si="1"/>
        <v>0</v>
      </c>
      <c r="V14" s="336">
        <f t="shared" si="2"/>
        <v>0</v>
      </c>
      <c r="W14" s="336">
        <f t="shared" si="3"/>
        <v>0</v>
      </c>
      <c r="X14" s="336" t="s">
        <v>467</v>
      </c>
      <c r="Y14" s="336" t="b">
        <f t="shared" si="4"/>
        <v>0</v>
      </c>
      <c r="Z14" s="336" t="b">
        <f t="shared" si="5"/>
        <v>1</v>
      </c>
      <c r="AA14" s="336" t="s">
        <v>498</v>
      </c>
    </row>
    <row r="15" spans="1:27" ht="13.5" thickBot="1" x14ac:dyDescent="0.25">
      <c r="A15" s="5">
        <v>9</v>
      </c>
      <c r="B15" s="27">
        <f>COUNTIF(E44:E58,"*")</f>
        <v>0</v>
      </c>
      <c r="C15" s="563" t="s">
        <v>52</v>
      </c>
      <c r="D15" s="563"/>
      <c r="E15" s="563"/>
      <c r="F15" s="563"/>
      <c r="G15" s="573" t="s">
        <v>63</v>
      </c>
      <c r="H15" s="573"/>
      <c r="I15" s="573"/>
      <c r="J15" s="573"/>
      <c r="K15" s="573"/>
      <c r="L15" s="573"/>
      <c r="M15" s="574"/>
      <c r="N15" s="321">
        <f>SUM(N44:N58)</f>
        <v>0</v>
      </c>
      <c r="O15" s="602"/>
      <c r="P15" s="603"/>
      <c r="Q15" s="336">
        <f>SUM(Q7:Q14)</f>
        <v>0</v>
      </c>
      <c r="R15" s="336">
        <f>SUM(R7:R14)</f>
        <v>0</v>
      </c>
      <c r="S15" s="336">
        <f>SUM(S7:S14)</f>
        <v>0</v>
      </c>
      <c r="U15" s="336">
        <f>SUM(U7:U14)</f>
        <v>0</v>
      </c>
      <c r="V15" s="336">
        <f>SUM(V7:V14)</f>
        <v>0</v>
      </c>
      <c r="W15" s="336">
        <f>SUM(W7:W14)</f>
        <v>0</v>
      </c>
    </row>
    <row r="16" spans="1:27" ht="13.5" thickBot="1" x14ac:dyDescent="0.25">
      <c r="B16" s="27">
        <f>SUM(COUNTIF(E7:E14,"*"),B15)</f>
        <v>0</v>
      </c>
      <c r="C16" s="569" t="s">
        <v>51</v>
      </c>
      <c r="D16" s="570"/>
      <c r="E16" s="570"/>
      <c r="F16" s="570"/>
      <c r="G16" s="9"/>
      <c r="H16" s="10"/>
      <c r="I16" s="10"/>
      <c r="J16" s="571" t="s">
        <v>34</v>
      </c>
      <c r="K16" s="571"/>
      <c r="L16" s="571"/>
      <c r="M16" s="572"/>
      <c r="N16" s="323">
        <f>SUM(N7:N15)</f>
        <v>0</v>
      </c>
      <c r="O16" s="600"/>
      <c r="P16" s="601"/>
    </row>
    <row r="17" spans="2:30" x14ac:dyDescent="0.2">
      <c r="B17" s="9"/>
      <c r="C17" s="9"/>
      <c r="D17" s="9"/>
      <c r="E17" s="9"/>
      <c r="F17" s="9"/>
      <c r="G17" s="9"/>
      <c r="H17" s="10"/>
      <c r="I17" s="10"/>
      <c r="J17" s="11"/>
      <c r="K17" s="11"/>
      <c r="L17" s="11"/>
      <c r="M17" s="11"/>
      <c r="N17" s="10"/>
    </row>
    <row r="18" spans="2:30" x14ac:dyDescent="0.2">
      <c r="B18" s="9"/>
      <c r="C18" s="9"/>
      <c r="D18" s="9"/>
      <c r="E18" s="9"/>
      <c r="F18" s="9"/>
      <c r="G18" s="9"/>
      <c r="H18" s="9"/>
      <c r="I18" s="9"/>
      <c r="J18" s="11"/>
      <c r="K18" s="11"/>
      <c r="L18" s="11"/>
      <c r="M18" s="11"/>
      <c r="N18" s="9"/>
    </row>
    <row r="19" spans="2:30" x14ac:dyDescent="0.2">
      <c r="B19" s="575" t="s">
        <v>6</v>
      </c>
      <c r="C19" s="575"/>
      <c r="D19" s="576" t="s">
        <v>96</v>
      </c>
      <c r="E19" s="576"/>
      <c r="F19" s="576"/>
      <c r="G19" s="576"/>
      <c r="H19" s="576"/>
      <c r="I19" s="576"/>
      <c r="J19" s="576"/>
      <c r="K19" s="576"/>
    </row>
    <row r="20" spans="2:30" ht="26.25" thickBot="1" x14ac:dyDescent="0.25">
      <c r="B20" s="13" t="s">
        <v>7</v>
      </c>
      <c r="C20" s="14"/>
      <c r="D20" s="14"/>
      <c r="E20" s="14"/>
      <c r="F20" s="14"/>
      <c r="G20" s="14"/>
      <c r="H20" s="468" t="s">
        <v>65</v>
      </c>
      <c r="I20" s="15" t="s">
        <v>60</v>
      </c>
      <c r="J20" s="15" t="s">
        <v>61</v>
      </c>
      <c r="K20" s="15" t="s">
        <v>62</v>
      </c>
      <c r="L20" s="15" t="s">
        <v>44</v>
      </c>
      <c r="M20" s="40" t="s">
        <v>45</v>
      </c>
      <c r="N20" s="40" t="s">
        <v>41</v>
      </c>
      <c r="O20" s="594" t="s">
        <v>253</v>
      </c>
      <c r="P20" s="594"/>
    </row>
    <row r="21" spans="2:30" x14ac:dyDescent="0.2">
      <c r="B21" s="261"/>
      <c r="C21" s="577" t="s">
        <v>8</v>
      </c>
      <c r="D21" s="578"/>
      <c r="E21" s="578"/>
      <c r="F21" s="578"/>
      <c r="G21" s="578"/>
      <c r="H21" s="579"/>
      <c r="I21" s="17"/>
      <c r="J21" s="17"/>
      <c r="K21" s="17"/>
      <c r="L21" s="41"/>
      <c r="M21" s="45" t="str">
        <f>IF(ISBLANK(L21),"",ROUND(L21*LOOKUP("Full",Ben,Per),2))</f>
        <v/>
      </c>
      <c r="N21" s="319" t="str">
        <f t="shared" ref="N21:N26" si="11">IF(ISBLANK(L21),"",ROUND(SUM(L21:M21),2))</f>
        <v/>
      </c>
      <c r="O21" s="607"/>
      <c r="P21" s="608"/>
    </row>
    <row r="22" spans="2:30" x14ac:dyDescent="0.2">
      <c r="B22" s="262"/>
      <c r="C22" s="580" t="s">
        <v>73</v>
      </c>
      <c r="D22" s="581"/>
      <c r="E22" s="581"/>
      <c r="F22" s="581"/>
      <c r="G22" s="581"/>
      <c r="H22" s="583"/>
      <c r="I22" s="19"/>
      <c r="J22" s="19"/>
      <c r="K22" s="19"/>
      <c r="L22" s="53"/>
      <c r="M22" s="49" t="str">
        <f>IF(ISBLANK(L22),"",ROUND(L22*LOOKUP("Full",Ben,Per),2))</f>
        <v/>
      </c>
      <c r="N22" s="272" t="str">
        <f t="shared" si="11"/>
        <v/>
      </c>
      <c r="O22" s="605"/>
      <c r="P22" s="606"/>
    </row>
    <row r="23" spans="2:30" x14ac:dyDescent="0.2">
      <c r="B23" s="260"/>
      <c r="C23" s="580" t="s">
        <v>9</v>
      </c>
      <c r="D23" s="581"/>
      <c r="E23" s="581"/>
      <c r="F23" s="581"/>
      <c r="G23" s="429"/>
      <c r="H23" s="469" t="s">
        <v>241</v>
      </c>
      <c r="I23" s="21"/>
      <c r="J23" s="21"/>
      <c r="K23" s="21"/>
      <c r="L23" s="340"/>
      <c r="M23" s="47" t="str">
        <f>IF(ISBLANK(L23),"",ROUND(L23*LOOKUP(H23,Grad,GradR),2))</f>
        <v/>
      </c>
      <c r="N23" s="272" t="str">
        <f t="shared" si="11"/>
        <v/>
      </c>
      <c r="O23" s="605"/>
      <c r="P23" s="606"/>
    </row>
    <row r="24" spans="2:30" x14ac:dyDescent="0.2">
      <c r="B24" s="260"/>
      <c r="C24" s="580" t="s">
        <v>10</v>
      </c>
      <c r="D24" s="581"/>
      <c r="E24" s="581"/>
      <c r="F24" s="581"/>
      <c r="G24" s="581"/>
      <c r="H24" s="582"/>
      <c r="I24" s="22"/>
      <c r="J24" s="22"/>
      <c r="K24" s="22"/>
      <c r="L24" s="54"/>
      <c r="M24" s="47" t="str">
        <f>IF(ISBLANK(L24),"",ROUND(L24*LOOKUP("Temp",Ben,Per),2))</f>
        <v/>
      </c>
      <c r="N24" s="272" t="str">
        <f t="shared" si="11"/>
        <v/>
      </c>
      <c r="O24" s="605"/>
      <c r="P24" s="606"/>
    </row>
    <row r="25" spans="2:30" x14ac:dyDescent="0.2">
      <c r="B25" s="260"/>
      <c r="C25" s="584" t="s">
        <v>504</v>
      </c>
      <c r="D25" s="581"/>
      <c r="E25" s="581"/>
      <c r="F25" s="581"/>
      <c r="G25" s="581"/>
      <c r="H25" s="582"/>
      <c r="I25" s="22"/>
      <c r="J25" s="22"/>
      <c r="K25" s="22"/>
      <c r="L25" s="54"/>
      <c r="M25" s="47" t="str">
        <f>IF(ISBLANK(L25),"",ROUND(L25*LOOKUP("Full",Ben,Per),2))</f>
        <v/>
      </c>
      <c r="N25" s="272" t="str">
        <f t="shared" si="11"/>
        <v/>
      </c>
      <c r="O25" s="605"/>
      <c r="P25" s="606"/>
    </row>
    <row r="26" spans="2:30" x14ac:dyDescent="0.2">
      <c r="B26" s="260"/>
      <c r="C26" s="587" t="s">
        <v>458</v>
      </c>
      <c r="D26" s="588"/>
      <c r="E26" s="588"/>
      <c r="F26" s="588"/>
      <c r="G26" s="588"/>
      <c r="H26" s="588"/>
      <c r="I26" s="22"/>
      <c r="J26" s="22"/>
      <c r="K26" s="22"/>
      <c r="L26" s="54"/>
      <c r="M26" s="44" t="str">
        <f>IF(ISBLANK(L26),"",ROUND(L26*LOOKUP("Temp",Ben,Per),2))</f>
        <v/>
      </c>
      <c r="N26" s="273" t="str">
        <f t="shared" si="11"/>
        <v/>
      </c>
      <c r="O26" s="605"/>
      <c r="P26" s="606"/>
    </row>
    <row r="27" spans="2:30" s="257" customFormat="1" x14ac:dyDescent="0.2">
      <c r="B27" s="20"/>
      <c r="C27" s="589" t="s">
        <v>421</v>
      </c>
      <c r="D27" s="588"/>
      <c r="E27" s="588"/>
      <c r="F27" s="588"/>
      <c r="G27" s="588"/>
      <c r="H27" s="588"/>
      <c r="I27" s="22"/>
      <c r="J27" s="22"/>
      <c r="K27" s="22"/>
      <c r="L27" s="54"/>
      <c r="M27" s="44" t="str">
        <f>IF(ISBLANK(L27),"",ROUND(L27*LOOKUP("Temp",Ben,Per),2))</f>
        <v/>
      </c>
      <c r="N27" s="273" t="str">
        <f>IF(ISBLANK(L27),"",ROUND(SUM(L27:M27),2))</f>
        <v/>
      </c>
      <c r="O27" s="605"/>
      <c r="P27" s="606"/>
      <c r="Q27" s="336"/>
      <c r="R27" s="336"/>
      <c r="S27" s="336"/>
      <c r="T27" s="336"/>
      <c r="U27" s="336"/>
      <c r="V27" s="336"/>
      <c r="W27" s="336"/>
      <c r="X27" s="336"/>
      <c r="Y27" s="336"/>
      <c r="Z27" s="336"/>
      <c r="AA27" s="336"/>
      <c r="AB27" s="336"/>
      <c r="AC27" s="336"/>
      <c r="AD27" s="336"/>
    </row>
    <row r="28" spans="2:30" s="257" customFormat="1" ht="13.5" thickBot="1" x14ac:dyDescent="0.25">
      <c r="B28" s="164"/>
      <c r="C28" s="590" t="s">
        <v>422</v>
      </c>
      <c r="D28" s="591"/>
      <c r="E28" s="591"/>
      <c r="F28" s="591"/>
      <c r="G28" s="591"/>
      <c r="H28" s="591"/>
      <c r="I28" s="29"/>
      <c r="J28" s="29"/>
      <c r="K28" s="29"/>
      <c r="L28" s="55"/>
      <c r="M28" s="52" t="str">
        <f>IF(ISBLANK(L28),"",ROUND(L28*LOOKUP("Adjunct",Ben,Per),2))</f>
        <v/>
      </c>
      <c r="N28" s="274" t="str">
        <f>IF(ISBLANK(L28),"",ROUND(SUM(L28:M28),2))</f>
        <v/>
      </c>
      <c r="O28" s="605"/>
      <c r="P28" s="606"/>
      <c r="Q28" s="336"/>
      <c r="R28" s="336"/>
      <c r="S28" s="336"/>
      <c r="T28" s="336"/>
      <c r="U28" s="336"/>
      <c r="V28" s="336"/>
      <c r="W28" s="336"/>
      <c r="X28" s="336"/>
      <c r="Y28" s="336"/>
      <c r="Z28" s="336"/>
      <c r="AA28" s="336"/>
      <c r="AB28" s="336"/>
      <c r="AC28" s="336"/>
      <c r="AD28" s="336"/>
    </row>
    <row r="29" spans="2:30" ht="13.5" thickBot="1" x14ac:dyDescent="0.25">
      <c r="B29" s="27">
        <f>SUM(B21:B26)</f>
        <v>0</v>
      </c>
      <c r="C29" s="569" t="s">
        <v>11</v>
      </c>
      <c r="D29" s="570"/>
      <c r="E29" s="570"/>
      <c r="F29" s="570"/>
      <c r="G29" s="258"/>
      <c r="H29" s="258"/>
      <c r="I29" s="571" t="s">
        <v>12</v>
      </c>
      <c r="J29" s="585"/>
      <c r="K29" s="585"/>
      <c r="L29" s="585"/>
      <c r="M29" s="586"/>
      <c r="N29" s="324">
        <f>ROUND(SUM(N21:N28),2)</f>
        <v>0</v>
      </c>
      <c r="O29" s="602"/>
      <c r="P29" s="603"/>
    </row>
    <row r="30" spans="2:30" ht="13.5" thickBot="1" x14ac:dyDescent="0.25">
      <c r="B30" s="439"/>
      <c r="C30" s="440"/>
      <c r="D30" s="440"/>
      <c r="E30" s="440"/>
      <c r="F30" s="440"/>
      <c r="G30" s="440"/>
      <c r="H30" s="25"/>
      <c r="I30" s="571" t="s">
        <v>13</v>
      </c>
      <c r="J30" s="571"/>
      <c r="K30" s="571"/>
      <c r="L30" s="571"/>
      <c r="M30" s="572"/>
      <c r="N30" s="323">
        <f>ROUND(SUM(N16,N29),2)</f>
        <v>0</v>
      </c>
      <c r="O30" s="600"/>
      <c r="P30" s="601"/>
    </row>
    <row r="31" spans="2:30" s="264" customFormat="1" hidden="1" x14ac:dyDescent="0.2">
      <c r="B31" s="439"/>
      <c r="C31" s="440"/>
      <c r="D31" s="440"/>
      <c r="E31" s="440"/>
      <c r="F31" s="440"/>
      <c r="G31" s="440"/>
      <c r="H31" s="25"/>
      <c r="I31" s="263"/>
      <c r="J31" s="263"/>
      <c r="K31" s="263"/>
      <c r="L31" s="263"/>
      <c r="M31" s="263"/>
      <c r="N31" s="327"/>
      <c r="O31" s="266"/>
      <c r="P31" s="266"/>
      <c r="Q31" s="336"/>
      <c r="R31" s="336"/>
      <c r="S31" s="336"/>
      <c r="T31" s="336"/>
      <c r="U31" s="336"/>
      <c r="V31" s="336"/>
      <c r="W31" s="336"/>
      <c r="X31" s="336"/>
      <c r="Y31" s="336"/>
      <c r="Z31" s="336"/>
      <c r="AA31" s="336"/>
      <c r="AB31" s="336"/>
      <c r="AC31" s="336"/>
      <c r="AD31" s="336"/>
    </row>
    <row r="32" spans="2:30" s="264" customFormat="1" ht="13.5" hidden="1" thickBot="1" x14ac:dyDescent="0.25">
      <c r="B32" s="439"/>
      <c r="C32" s="440"/>
      <c r="D32" s="440"/>
      <c r="E32" s="440"/>
      <c r="F32" s="440"/>
      <c r="G32" s="440"/>
      <c r="H32" s="25"/>
      <c r="I32" s="263"/>
      <c r="J32" s="263"/>
      <c r="K32" s="263"/>
      <c r="L32" s="263"/>
      <c r="M32" s="263"/>
      <c r="N32" s="327"/>
      <c r="O32" s="266"/>
      <c r="P32" s="266"/>
      <c r="Q32" s="336"/>
      <c r="R32" s="336"/>
      <c r="S32" s="336"/>
      <c r="T32" s="336"/>
      <c r="U32" s="336"/>
      <c r="V32" s="336"/>
      <c r="W32" s="336"/>
      <c r="X32" s="336"/>
      <c r="Y32" s="336"/>
      <c r="Z32" s="336"/>
      <c r="AA32" s="336"/>
      <c r="AB32" s="336"/>
      <c r="AC32" s="336"/>
      <c r="AD32" s="336"/>
    </row>
    <row r="33" spans="1:27" ht="12.75" hidden="1" customHeight="1" x14ac:dyDescent="0.2">
      <c r="B33" s="441"/>
      <c r="C33" s="441"/>
      <c r="D33" s="441"/>
      <c r="E33" s="441"/>
      <c r="F33" s="441"/>
      <c r="G33" s="441"/>
      <c r="H33" s="555" t="s">
        <v>235</v>
      </c>
      <c r="I33" s="556"/>
      <c r="J33" s="556"/>
      <c r="K33" s="556"/>
      <c r="L33" s="557"/>
    </row>
    <row r="34" spans="1:27" ht="12.75" hidden="1" customHeight="1" thickBot="1" x14ac:dyDescent="0.25">
      <c r="B34" s="441"/>
      <c r="C34" s="441"/>
      <c r="D34" s="441"/>
      <c r="E34" s="441"/>
      <c r="F34" s="441"/>
      <c r="G34" s="441"/>
      <c r="H34" s="558"/>
      <c r="I34" s="559"/>
      <c r="J34" s="559"/>
      <c r="K34" s="559"/>
      <c r="L34" s="560"/>
    </row>
    <row r="35" spans="1:27" ht="12.75" hidden="1" customHeight="1" x14ac:dyDescent="0.2">
      <c r="B35" s="441"/>
      <c r="C35" s="441"/>
      <c r="D35" s="441"/>
      <c r="E35" s="441"/>
      <c r="F35" s="441"/>
      <c r="G35" s="441"/>
      <c r="H35" s="546" t="s">
        <v>240</v>
      </c>
      <c r="I35" s="547"/>
      <c r="J35" s="547"/>
      <c r="K35" s="547"/>
      <c r="L35" s="548"/>
      <c r="O35" s="332"/>
      <c r="P35" s="127"/>
    </row>
    <row r="36" spans="1:27" ht="12.75" hidden="1" customHeight="1" x14ac:dyDescent="0.2">
      <c r="B36" s="441"/>
      <c r="C36" s="441"/>
      <c r="D36" s="441"/>
      <c r="E36" s="441"/>
      <c r="F36" s="441"/>
      <c r="G36" s="441"/>
      <c r="H36" s="549"/>
      <c r="I36" s="550"/>
      <c r="J36" s="550"/>
      <c r="K36" s="550"/>
      <c r="L36" s="551"/>
    </row>
    <row r="37" spans="1:27" ht="12.75" hidden="1" customHeight="1" x14ac:dyDescent="0.2">
      <c r="B37" s="441"/>
      <c r="C37" s="441"/>
      <c r="D37" s="441"/>
      <c r="E37" s="441"/>
      <c r="F37" s="441"/>
      <c r="G37" s="441"/>
      <c r="H37" s="549"/>
      <c r="I37" s="550"/>
      <c r="J37" s="550"/>
      <c r="K37" s="550"/>
      <c r="L37" s="551"/>
    </row>
    <row r="38" spans="1:27" ht="12.75" hidden="1" customHeight="1" x14ac:dyDescent="0.2">
      <c r="B38" s="441"/>
      <c r="C38" s="441"/>
      <c r="D38" s="441"/>
      <c r="E38" s="441"/>
      <c r="F38" s="441"/>
      <c r="G38" s="441"/>
      <c r="H38" s="549"/>
      <c r="I38" s="550"/>
      <c r="J38" s="550"/>
      <c r="K38" s="550"/>
      <c r="L38" s="551"/>
    </row>
    <row r="39" spans="1:27" ht="13.5" hidden="1" thickBot="1" x14ac:dyDescent="0.25">
      <c r="B39" s="441"/>
      <c r="C39" s="441"/>
      <c r="D39" s="441"/>
      <c r="E39" s="441"/>
      <c r="F39" s="441"/>
      <c r="G39" s="441"/>
      <c r="H39" s="552"/>
      <c r="I39" s="553"/>
      <c r="J39" s="553"/>
      <c r="K39" s="553"/>
      <c r="L39" s="554"/>
    </row>
    <row r="40" spans="1:27" ht="12.75" hidden="1" customHeight="1" thickBot="1" x14ac:dyDescent="0.25">
      <c r="B40" s="441"/>
      <c r="C40" s="441"/>
      <c r="D40" s="441"/>
      <c r="E40" s="441"/>
      <c r="F40" s="441"/>
      <c r="G40" s="441"/>
      <c r="H40" s="174" t="s">
        <v>236</v>
      </c>
      <c r="I40" s="167"/>
      <c r="J40" s="173" t="s">
        <v>237</v>
      </c>
      <c r="K40" s="173" t="s">
        <v>238</v>
      </c>
      <c r="L40" s="172" t="s">
        <v>239</v>
      </c>
    </row>
    <row r="41" spans="1:27" ht="12.75" hidden="1" customHeight="1" thickBot="1" x14ac:dyDescent="0.25">
      <c r="B41" s="441"/>
      <c r="C41" s="441"/>
      <c r="D41" s="441"/>
      <c r="E41" s="441"/>
      <c r="F41" s="441"/>
      <c r="G41" s="441"/>
      <c r="H41" s="168">
        <v>0</v>
      </c>
      <c r="I41" s="169"/>
      <c r="J41" s="170">
        <f>H41*12</f>
        <v>0</v>
      </c>
      <c r="K41" s="170">
        <f>H41*8.5</f>
        <v>0</v>
      </c>
      <c r="L41" s="171">
        <f>H41*3.5</f>
        <v>0</v>
      </c>
    </row>
    <row r="42" spans="1:27" hidden="1" x14ac:dyDescent="0.2">
      <c r="B42" s="545" t="s">
        <v>242</v>
      </c>
      <c r="C42" s="545"/>
      <c r="D42" s="545"/>
    </row>
    <row r="43" spans="1:27" ht="26.25" hidden="1" thickBot="1" x14ac:dyDescent="0.25">
      <c r="A43" s="2"/>
      <c r="B43" s="3" t="s">
        <v>0</v>
      </c>
      <c r="C43" s="3" t="s">
        <v>1</v>
      </c>
      <c r="D43" s="3" t="s">
        <v>2</v>
      </c>
      <c r="E43" s="3" t="s">
        <v>3</v>
      </c>
      <c r="F43" s="3" t="s">
        <v>4</v>
      </c>
      <c r="G43" s="3" t="s">
        <v>42</v>
      </c>
      <c r="H43" s="3" t="s">
        <v>43</v>
      </c>
      <c r="I43" s="4" t="s">
        <v>60</v>
      </c>
      <c r="J43" s="4" t="s">
        <v>61</v>
      </c>
      <c r="K43" s="3" t="s">
        <v>62</v>
      </c>
      <c r="L43" s="4" t="s">
        <v>44</v>
      </c>
      <c r="M43" s="3" t="s">
        <v>45</v>
      </c>
      <c r="N43" s="3" t="s">
        <v>41</v>
      </c>
      <c r="O43" s="599" t="s">
        <v>253</v>
      </c>
      <c r="P43" s="599"/>
      <c r="Q43" s="335" t="s">
        <v>66</v>
      </c>
      <c r="R43" s="335" t="s">
        <v>67</v>
      </c>
      <c r="S43" s="335" t="s">
        <v>68</v>
      </c>
      <c r="U43" s="335" t="s">
        <v>66</v>
      </c>
      <c r="V43" s="335" t="s">
        <v>67</v>
      </c>
      <c r="W43" s="335" t="s">
        <v>68</v>
      </c>
      <c r="Y43" s="336" t="s">
        <v>464</v>
      </c>
      <c r="Z43" s="336" t="s">
        <v>465</v>
      </c>
    </row>
    <row r="44" spans="1:27" hidden="1" x14ac:dyDescent="0.2">
      <c r="A44" s="5">
        <v>1</v>
      </c>
      <c r="B44" s="28"/>
      <c r="C44" s="17"/>
      <c r="D44" s="17"/>
      <c r="E44" s="183"/>
      <c r="F44" s="17"/>
      <c r="G44" s="176"/>
      <c r="H44" s="177"/>
      <c r="I44" s="178"/>
      <c r="J44" s="178"/>
      <c r="K44" s="178"/>
      <c r="L44" s="343" t="str">
        <f t="shared" ref="L44:L58" si="12">IF(NOT(OR(ISBLANK(H44),H44="")), IF(OR(AND(ISBLANK(I44),ISBLANK(J44),ISBLANK(K44)),AND(I44="",J44="",K44="")),0, IF((AND((I44&gt;0),((J44+K44)&gt;0))),"Error", IF((I44&gt;0),ROUND(((H44*I44)/12),2),ROUND((H44*(J44+K44))/8.5,2)))),"")</f>
        <v/>
      </c>
      <c r="M44" s="45" t="str">
        <f t="shared" ref="M44:M50" si="13">IF(ISBLANK(H44),"",ROUND(SUM(U44:W44),2))</f>
        <v/>
      </c>
      <c r="N44" s="319" t="str">
        <f t="shared" ref="N44:N50" si="14">IF(ISBLANK(H44),"",ROUND(SUM(L44:M44),2))</f>
        <v/>
      </c>
      <c r="O44" s="597"/>
      <c r="P44" s="598"/>
      <c r="Q44" s="336">
        <f t="shared" ref="Q44:Q51" si="15">(H44/12)*I44</f>
        <v>0</v>
      </c>
      <c r="R44" s="337">
        <f>(H44/8.5)*J44</f>
        <v>0</v>
      </c>
      <c r="S44" s="336">
        <f>(H44/8.5)*K44</f>
        <v>0</v>
      </c>
      <c r="U44" s="336">
        <f t="shared" ref="U44:U51" si="16">Q44*LOOKUP("Full",Ben,Per)</f>
        <v>0</v>
      </c>
      <c r="V44" s="336">
        <f t="shared" ref="V44:V51" si="17">R44*LOOKUP("Full",Ben,Per)</f>
        <v>0</v>
      </c>
      <c r="W44" s="336">
        <f t="shared" ref="W44:W51" si="18">S44*LOOKUP("Summer",Ben,Per)</f>
        <v>0</v>
      </c>
      <c r="X44" s="336" t="s">
        <v>467</v>
      </c>
      <c r="Y44" s="336" t="b">
        <f t="shared" ref="Y44:Y58" si="19">IF(OR($N$5&lt;&gt;"Federal - NIH",OR(AND(ISBLANK(I44),ISBLANK(J44),ISBLANK(K44)),AND(I44="",J44="",K44=""))),FALSE,IF(I44&gt;0,H44&gt;NIHSalaryCap,H44&gt;(NIHSalaryCap*8.5)/12))</f>
        <v>0</v>
      </c>
      <c r="Z44" s="336" t="b">
        <f t="shared" ref="Z44:Z58" si="20">IF(AND($N$5="Federal - NIH",OR(NOT(ISBLANK(I44)),NOT(ISBLANK(J44)),NOT(ISBLANK(K44)),I44&lt;&gt;"",J44&lt;&gt;"",K44&lt;&gt;"")),IF(I44&gt;0,H44&lt;=NIHSalaryCap,H44&lt;=(NIHSalaryCap*8.5)/12),TRUE)</f>
        <v>1</v>
      </c>
      <c r="AA44" s="336" t="s">
        <v>498</v>
      </c>
    </row>
    <row r="45" spans="1:27" hidden="1" x14ac:dyDescent="0.2">
      <c r="A45" s="5">
        <v>2</v>
      </c>
      <c r="B45" s="6"/>
      <c r="C45" s="22"/>
      <c r="D45" s="22"/>
      <c r="E45" s="185"/>
      <c r="F45" s="22"/>
      <c r="G45" s="22"/>
      <c r="H45" s="42"/>
      <c r="I45" s="21"/>
      <c r="J45" s="21"/>
      <c r="K45" s="21"/>
      <c r="L45" s="344" t="str">
        <f t="shared" si="12"/>
        <v/>
      </c>
      <c r="M45" s="44" t="str">
        <f t="shared" si="13"/>
        <v/>
      </c>
      <c r="N45" s="273" t="str">
        <f t="shared" si="14"/>
        <v/>
      </c>
      <c r="O45" s="592"/>
      <c r="P45" s="593"/>
      <c r="Q45" s="336">
        <f t="shared" si="15"/>
        <v>0</v>
      </c>
      <c r="R45" s="337">
        <f t="shared" ref="R45:R51" si="21">(H45/8.5)*J45</f>
        <v>0</v>
      </c>
      <c r="S45" s="336">
        <f t="shared" ref="S45:S51" si="22">(H45/8.5)*K45</f>
        <v>0</v>
      </c>
      <c r="U45" s="336">
        <f t="shared" si="16"/>
        <v>0</v>
      </c>
      <c r="V45" s="336">
        <f t="shared" si="17"/>
        <v>0</v>
      </c>
      <c r="W45" s="336">
        <f t="shared" si="18"/>
        <v>0</v>
      </c>
      <c r="X45" s="336" t="s">
        <v>467</v>
      </c>
      <c r="Y45" s="336" t="b">
        <f t="shared" si="19"/>
        <v>0</v>
      </c>
      <c r="Z45" s="336" t="b">
        <f t="shared" si="20"/>
        <v>1</v>
      </c>
      <c r="AA45" s="336" t="s">
        <v>498</v>
      </c>
    </row>
    <row r="46" spans="1:27" hidden="1" x14ac:dyDescent="0.2">
      <c r="A46" s="5">
        <v>3</v>
      </c>
      <c r="B46" s="6"/>
      <c r="C46" s="22"/>
      <c r="D46" s="22"/>
      <c r="E46" s="22"/>
      <c r="F46" s="22"/>
      <c r="G46" s="70"/>
      <c r="H46" s="42"/>
      <c r="I46" s="21"/>
      <c r="J46" s="21"/>
      <c r="K46" s="21"/>
      <c r="L46" s="344" t="str">
        <f t="shared" si="12"/>
        <v/>
      </c>
      <c r="M46" s="44" t="str">
        <f t="shared" si="13"/>
        <v/>
      </c>
      <c r="N46" s="273" t="str">
        <f t="shared" si="14"/>
        <v/>
      </c>
      <c r="O46" s="592"/>
      <c r="P46" s="593"/>
      <c r="Q46" s="336">
        <f t="shared" si="15"/>
        <v>0</v>
      </c>
      <c r="R46" s="337">
        <f t="shared" si="21"/>
        <v>0</v>
      </c>
      <c r="S46" s="336">
        <f t="shared" si="22"/>
        <v>0</v>
      </c>
      <c r="U46" s="336">
        <f t="shared" si="16"/>
        <v>0</v>
      </c>
      <c r="V46" s="336">
        <f t="shared" si="17"/>
        <v>0</v>
      </c>
      <c r="W46" s="336">
        <f t="shared" si="18"/>
        <v>0</v>
      </c>
      <c r="X46" s="336" t="s">
        <v>467</v>
      </c>
      <c r="Y46" s="336" t="b">
        <f t="shared" si="19"/>
        <v>0</v>
      </c>
      <c r="Z46" s="336" t="b">
        <f t="shared" si="20"/>
        <v>1</v>
      </c>
      <c r="AA46" s="336" t="s">
        <v>498</v>
      </c>
    </row>
    <row r="47" spans="1:27" hidden="1" x14ac:dyDescent="0.2">
      <c r="A47" s="5">
        <v>4</v>
      </c>
      <c r="B47" s="6"/>
      <c r="C47" s="22"/>
      <c r="D47" s="22"/>
      <c r="E47" s="22"/>
      <c r="F47" s="22"/>
      <c r="G47" s="71"/>
      <c r="H47" s="42"/>
      <c r="I47" s="21"/>
      <c r="J47" s="21"/>
      <c r="K47" s="21"/>
      <c r="L47" s="344" t="str">
        <f t="shared" si="12"/>
        <v/>
      </c>
      <c r="M47" s="44" t="str">
        <f t="shared" si="13"/>
        <v/>
      </c>
      <c r="N47" s="273" t="str">
        <f t="shared" si="14"/>
        <v/>
      </c>
      <c r="O47" s="592"/>
      <c r="P47" s="593"/>
      <c r="Q47" s="336">
        <f t="shared" si="15"/>
        <v>0</v>
      </c>
      <c r="R47" s="337">
        <f t="shared" si="21"/>
        <v>0</v>
      </c>
      <c r="S47" s="336">
        <f t="shared" si="22"/>
        <v>0</v>
      </c>
      <c r="U47" s="336">
        <f t="shared" si="16"/>
        <v>0</v>
      </c>
      <c r="V47" s="336">
        <f t="shared" si="17"/>
        <v>0</v>
      </c>
      <c r="W47" s="336">
        <f t="shared" si="18"/>
        <v>0</v>
      </c>
      <c r="X47" s="336" t="s">
        <v>467</v>
      </c>
      <c r="Y47" s="336" t="b">
        <f t="shared" si="19"/>
        <v>0</v>
      </c>
      <c r="Z47" s="336" t="b">
        <f t="shared" si="20"/>
        <v>1</v>
      </c>
      <c r="AA47" s="336" t="s">
        <v>498</v>
      </c>
    </row>
    <row r="48" spans="1:27" hidden="1" x14ac:dyDescent="0.2">
      <c r="A48" s="5">
        <v>5</v>
      </c>
      <c r="B48" s="6"/>
      <c r="C48" s="22"/>
      <c r="D48" s="22"/>
      <c r="E48" s="22"/>
      <c r="F48" s="22"/>
      <c r="G48" s="22"/>
      <c r="H48" s="42"/>
      <c r="I48" s="346"/>
      <c r="J48" s="21"/>
      <c r="K48" s="21"/>
      <c r="L48" s="344" t="str">
        <f t="shared" si="12"/>
        <v/>
      </c>
      <c r="M48" s="44" t="str">
        <f t="shared" si="13"/>
        <v/>
      </c>
      <c r="N48" s="273" t="str">
        <f t="shared" si="14"/>
        <v/>
      </c>
      <c r="O48" s="592"/>
      <c r="P48" s="593"/>
      <c r="Q48" s="336">
        <f t="shared" si="15"/>
        <v>0</v>
      </c>
      <c r="R48" s="337">
        <f t="shared" si="21"/>
        <v>0</v>
      </c>
      <c r="S48" s="336">
        <f t="shared" si="22"/>
        <v>0</v>
      </c>
      <c r="U48" s="336">
        <f t="shared" si="16"/>
        <v>0</v>
      </c>
      <c r="V48" s="336">
        <f t="shared" si="17"/>
        <v>0</v>
      </c>
      <c r="W48" s="336">
        <f t="shared" si="18"/>
        <v>0</v>
      </c>
      <c r="X48" s="336" t="s">
        <v>467</v>
      </c>
      <c r="Y48" s="336" t="b">
        <f t="shared" si="19"/>
        <v>0</v>
      </c>
      <c r="Z48" s="336" t="b">
        <f t="shared" si="20"/>
        <v>1</v>
      </c>
      <c r="AA48" s="336" t="s">
        <v>498</v>
      </c>
    </row>
    <row r="49" spans="1:27" hidden="1" x14ac:dyDescent="0.2">
      <c r="A49" s="5">
        <v>6</v>
      </c>
      <c r="B49" s="6"/>
      <c r="C49" s="22"/>
      <c r="D49" s="22"/>
      <c r="E49" s="22"/>
      <c r="F49" s="22"/>
      <c r="G49" s="22"/>
      <c r="H49" s="42"/>
      <c r="I49" s="21"/>
      <c r="J49" s="21"/>
      <c r="K49" s="21"/>
      <c r="L49" s="344" t="str">
        <f t="shared" si="12"/>
        <v/>
      </c>
      <c r="M49" s="44" t="str">
        <f t="shared" si="13"/>
        <v/>
      </c>
      <c r="N49" s="273" t="str">
        <f t="shared" si="14"/>
        <v/>
      </c>
      <c r="O49" s="592"/>
      <c r="P49" s="593"/>
      <c r="Q49" s="336">
        <f t="shared" si="15"/>
        <v>0</v>
      </c>
      <c r="R49" s="337">
        <f t="shared" si="21"/>
        <v>0</v>
      </c>
      <c r="S49" s="336">
        <f t="shared" si="22"/>
        <v>0</v>
      </c>
      <c r="U49" s="336">
        <f t="shared" si="16"/>
        <v>0</v>
      </c>
      <c r="V49" s="336">
        <f t="shared" si="17"/>
        <v>0</v>
      </c>
      <c r="W49" s="336">
        <f t="shared" si="18"/>
        <v>0</v>
      </c>
      <c r="X49" s="336" t="s">
        <v>467</v>
      </c>
      <c r="Y49" s="336" t="b">
        <f t="shared" si="19"/>
        <v>0</v>
      </c>
      <c r="Z49" s="336" t="b">
        <f t="shared" si="20"/>
        <v>1</v>
      </c>
      <c r="AA49" s="336" t="s">
        <v>498</v>
      </c>
    </row>
    <row r="50" spans="1:27" hidden="1" x14ac:dyDescent="0.2">
      <c r="A50" s="5">
        <v>7</v>
      </c>
      <c r="B50" s="6"/>
      <c r="C50" s="22"/>
      <c r="D50" s="22"/>
      <c r="E50" s="22"/>
      <c r="F50" s="22"/>
      <c r="G50" s="22"/>
      <c r="H50" s="42"/>
      <c r="I50" s="21"/>
      <c r="J50" s="21"/>
      <c r="K50" s="21"/>
      <c r="L50" s="344" t="str">
        <f t="shared" si="12"/>
        <v/>
      </c>
      <c r="M50" s="44" t="str">
        <f t="shared" si="13"/>
        <v/>
      </c>
      <c r="N50" s="273" t="str">
        <f t="shared" si="14"/>
        <v/>
      </c>
      <c r="O50" s="592"/>
      <c r="P50" s="593"/>
      <c r="Q50" s="336">
        <f t="shared" si="15"/>
        <v>0</v>
      </c>
      <c r="R50" s="337">
        <f t="shared" si="21"/>
        <v>0</v>
      </c>
      <c r="S50" s="336">
        <f t="shared" si="22"/>
        <v>0</v>
      </c>
      <c r="U50" s="336">
        <f t="shared" si="16"/>
        <v>0</v>
      </c>
      <c r="V50" s="336">
        <f t="shared" si="17"/>
        <v>0</v>
      </c>
      <c r="W50" s="336">
        <f t="shared" si="18"/>
        <v>0</v>
      </c>
      <c r="X50" s="336" t="s">
        <v>467</v>
      </c>
      <c r="Y50" s="336" t="b">
        <f t="shared" si="19"/>
        <v>0</v>
      </c>
      <c r="Z50" s="336" t="b">
        <f t="shared" si="20"/>
        <v>1</v>
      </c>
      <c r="AA50" s="336" t="s">
        <v>498</v>
      </c>
    </row>
    <row r="51" spans="1:27" hidden="1" x14ac:dyDescent="0.2">
      <c r="A51" s="5">
        <v>8</v>
      </c>
      <c r="B51" s="75"/>
      <c r="C51" s="69"/>
      <c r="D51" s="69"/>
      <c r="E51" s="69"/>
      <c r="F51" s="69"/>
      <c r="G51" s="69"/>
      <c r="H51" s="42"/>
      <c r="I51" s="19"/>
      <c r="J51" s="19"/>
      <c r="K51" s="19"/>
      <c r="L51" s="344" t="str">
        <f t="shared" si="12"/>
        <v/>
      </c>
      <c r="M51" s="49" t="str">
        <f t="shared" ref="M51:M58" si="23">IF(ISBLANK(H51),"",ROUND(SUM(U51:W51),2))</f>
        <v/>
      </c>
      <c r="N51" s="272" t="str">
        <f t="shared" ref="N51:N58" si="24">IF(ISBLANK(H51),"",ROUND(SUM(L51:M51),2))</f>
        <v/>
      </c>
      <c r="O51" s="592"/>
      <c r="P51" s="593"/>
      <c r="Q51" s="336">
        <f t="shared" si="15"/>
        <v>0</v>
      </c>
      <c r="R51" s="337">
        <f t="shared" si="21"/>
        <v>0</v>
      </c>
      <c r="S51" s="336">
        <f t="shared" si="22"/>
        <v>0</v>
      </c>
      <c r="U51" s="336">
        <f t="shared" si="16"/>
        <v>0</v>
      </c>
      <c r="V51" s="336">
        <f t="shared" si="17"/>
        <v>0</v>
      </c>
      <c r="W51" s="336">
        <f t="shared" si="18"/>
        <v>0</v>
      </c>
      <c r="X51" s="336" t="s">
        <v>467</v>
      </c>
      <c r="Y51" s="336" t="b">
        <f t="shared" si="19"/>
        <v>0</v>
      </c>
      <c r="Z51" s="336" t="b">
        <f t="shared" si="20"/>
        <v>1</v>
      </c>
      <c r="AA51" s="336" t="s">
        <v>498</v>
      </c>
    </row>
    <row r="52" spans="1:27" hidden="1" x14ac:dyDescent="0.2">
      <c r="A52" s="5">
        <v>9</v>
      </c>
      <c r="B52" s="6"/>
      <c r="C52" s="22"/>
      <c r="D52" s="22"/>
      <c r="E52" s="22"/>
      <c r="F52" s="22"/>
      <c r="G52" s="71"/>
      <c r="H52" s="42"/>
      <c r="I52" s="21"/>
      <c r="J52" s="21"/>
      <c r="K52" s="21"/>
      <c r="L52" s="344" t="str">
        <f t="shared" si="12"/>
        <v/>
      </c>
      <c r="M52" s="44" t="str">
        <f t="shared" si="23"/>
        <v/>
      </c>
      <c r="N52" s="273" t="str">
        <f t="shared" si="24"/>
        <v/>
      </c>
      <c r="O52" s="592"/>
      <c r="P52" s="593"/>
      <c r="Q52" s="336">
        <f t="shared" ref="Q52:Q58" si="25">(H52/12)*I52</f>
        <v>0</v>
      </c>
      <c r="R52" s="337">
        <f t="shared" ref="R52:R58" si="26">(H52/8.5)*J52</f>
        <v>0</v>
      </c>
      <c r="S52" s="336">
        <f t="shared" ref="S52:S58" si="27">(H52/8.5)*K52</f>
        <v>0</v>
      </c>
      <c r="U52" s="336">
        <f t="shared" ref="U52:U58" si="28">Q52*LOOKUP("Full",Ben,Per)</f>
        <v>0</v>
      </c>
      <c r="V52" s="336">
        <f t="shared" ref="V52:V58" si="29">R52*LOOKUP("Full",Ben,Per)</f>
        <v>0</v>
      </c>
      <c r="W52" s="336">
        <f t="shared" ref="W52:W58" si="30">S52*LOOKUP("Summer",Ben,Per)</f>
        <v>0</v>
      </c>
      <c r="X52" s="336" t="s">
        <v>467</v>
      </c>
      <c r="Y52" s="336" t="b">
        <f t="shared" si="19"/>
        <v>0</v>
      </c>
      <c r="Z52" s="336" t="b">
        <f t="shared" si="20"/>
        <v>1</v>
      </c>
      <c r="AA52" s="336" t="s">
        <v>498</v>
      </c>
    </row>
    <row r="53" spans="1:27" hidden="1" x14ac:dyDescent="0.2">
      <c r="A53" s="5">
        <v>10</v>
      </c>
      <c r="B53" s="6"/>
      <c r="C53" s="22"/>
      <c r="D53" s="22"/>
      <c r="E53" s="22"/>
      <c r="F53" s="22"/>
      <c r="G53" s="22"/>
      <c r="H53" s="42"/>
      <c r="I53" s="21"/>
      <c r="J53" s="21"/>
      <c r="K53" s="21"/>
      <c r="L53" s="344" t="str">
        <f t="shared" si="12"/>
        <v/>
      </c>
      <c r="M53" s="44" t="str">
        <f t="shared" si="23"/>
        <v/>
      </c>
      <c r="N53" s="273" t="str">
        <f t="shared" si="24"/>
        <v/>
      </c>
      <c r="O53" s="592"/>
      <c r="P53" s="593"/>
      <c r="Q53" s="336">
        <f t="shared" si="25"/>
        <v>0</v>
      </c>
      <c r="R53" s="337">
        <f t="shared" si="26"/>
        <v>0</v>
      </c>
      <c r="S53" s="336">
        <f t="shared" si="27"/>
        <v>0</v>
      </c>
      <c r="U53" s="336">
        <f t="shared" si="28"/>
        <v>0</v>
      </c>
      <c r="V53" s="336">
        <f t="shared" si="29"/>
        <v>0</v>
      </c>
      <c r="W53" s="336">
        <f t="shared" si="30"/>
        <v>0</v>
      </c>
      <c r="X53" s="336" t="s">
        <v>467</v>
      </c>
      <c r="Y53" s="336" t="b">
        <f t="shared" si="19"/>
        <v>0</v>
      </c>
      <c r="Z53" s="336" t="b">
        <f t="shared" si="20"/>
        <v>1</v>
      </c>
      <c r="AA53" s="336" t="s">
        <v>498</v>
      </c>
    </row>
    <row r="54" spans="1:27" hidden="1" x14ac:dyDescent="0.2">
      <c r="A54" s="5">
        <v>11</v>
      </c>
      <c r="B54" s="6"/>
      <c r="C54" s="22"/>
      <c r="D54" s="22"/>
      <c r="E54" s="22"/>
      <c r="F54" s="22"/>
      <c r="G54" s="22"/>
      <c r="H54" s="42"/>
      <c r="I54" s="21"/>
      <c r="J54" s="21"/>
      <c r="K54" s="21"/>
      <c r="L54" s="344" t="str">
        <f t="shared" si="12"/>
        <v/>
      </c>
      <c r="M54" s="44" t="str">
        <f t="shared" si="23"/>
        <v/>
      </c>
      <c r="N54" s="273" t="str">
        <f t="shared" si="24"/>
        <v/>
      </c>
      <c r="O54" s="592"/>
      <c r="P54" s="593"/>
      <c r="Q54" s="336">
        <f t="shared" si="25"/>
        <v>0</v>
      </c>
      <c r="R54" s="337">
        <f t="shared" si="26"/>
        <v>0</v>
      </c>
      <c r="S54" s="336">
        <f t="shared" si="27"/>
        <v>0</v>
      </c>
      <c r="U54" s="336">
        <f t="shared" si="28"/>
        <v>0</v>
      </c>
      <c r="V54" s="336">
        <f t="shared" si="29"/>
        <v>0</v>
      </c>
      <c r="W54" s="336">
        <f t="shared" si="30"/>
        <v>0</v>
      </c>
      <c r="X54" s="336" t="s">
        <v>467</v>
      </c>
      <c r="Y54" s="336" t="b">
        <f t="shared" si="19"/>
        <v>0</v>
      </c>
      <c r="Z54" s="336" t="b">
        <f t="shared" si="20"/>
        <v>1</v>
      </c>
      <c r="AA54" s="336" t="s">
        <v>498</v>
      </c>
    </row>
    <row r="55" spans="1:27" hidden="1" x14ac:dyDescent="0.2">
      <c r="A55" s="5">
        <v>12</v>
      </c>
      <c r="B55" s="6"/>
      <c r="C55" s="22"/>
      <c r="D55" s="22"/>
      <c r="E55" s="22"/>
      <c r="F55" s="22"/>
      <c r="G55" s="22"/>
      <c r="H55" s="42"/>
      <c r="I55" s="21"/>
      <c r="J55" s="21"/>
      <c r="K55" s="21"/>
      <c r="L55" s="344" t="str">
        <f t="shared" si="12"/>
        <v/>
      </c>
      <c r="M55" s="44" t="str">
        <f t="shared" si="23"/>
        <v/>
      </c>
      <c r="N55" s="273" t="str">
        <f t="shared" si="24"/>
        <v/>
      </c>
      <c r="O55" s="592"/>
      <c r="P55" s="593"/>
      <c r="Q55" s="336">
        <f t="shared" si="25"/>
        <v>0</v>
      </c>
      <c r="R55" s="337">
        <f t="shared" si="26"/>
        <v>0</v>
      </c>
      <c r="S55" s="336">
        <f t="shared" si="27"/>
        <v>0</v>
      </c>
      <c r="U55" s="336">
        <f t="shared" si="28"/>
        <v>0</v>
      </c>
      <c r="V55" s="336">
        <f t="shared" si="29"/>
        <v>0</v>
      </c>
      <c r="W55" s="336">
        <f t="shared" si="30"/>
        <v>0</v>
      </c>
      <c r="X55" s="336" t="s">
        <v>467</v>
      </c>
      <c r="Y55" s="336" t="b">
        <f t="shared" si="19"/>
        <v>0</v>
      </c>
      <c r="Z55" s="336" t="b">
        <f t="shared" si="20"/>
        <v>1</v>
      </c>
      <c r="AA55" s="336" t="s">
        <v>498</v>
      </c>
    </row>
    <row r="56" spans="1:27" hidden="1" x14ac:dyDescent="0.2">
      <c r="A56" s="5">
        <v>13</v>
      </c>
      <c r="B56" s="75"/>
      <c r="C56" s="69"/>
      <c r="D56" s="69"/>
      <c r="E56" s="69"/>
      <c r="F56" s="69"/>
      <c r="G56" s="69"/>
      <c r="H56" s="42"/>
      <c r="I56" s="19"/>
      <c r="J56" s="19"/>
      <c r="K56" s="19"/>
      <c r="L56" s="344" t="str">
        <f t="shared" si="12"/>
        <v/>
      </c>
      <c r="M56" s="49" t="str">
        <f>IF(ISBLANK(H56),"",ROUND(SUM(U56:W56),2))</f>
        <v/>
      </c>
      <c r="N56" s="272" t="str">
        <f>IF(ISBLANK(H56),"",ROUND(SUM(L56:M56),2))</f>
        <v/>
      </c>
      <c r="O56" s="592"/>
      <c r="P56" s="593"/>
      <c r="Q56" s="336">
        <f t="shared" si="25"/>
        <v>0</v>
      </c>
      <c r="R56" s="337">
        <f t="shared" si="26"/>
        <v>0</v>
      </c>
      <c r="S56" s="336">
        <f t="shared" si="27"/>
        <v>0</v>
      </c>
      <c r="U56" s="336">
        <f t="shared" si="28"/>
        <v>0</v>
      </c>
      <c r="V56" s="336">
        <f t="shared" si="29"/>
        <v>0</v>
      </c>
      <c r="W56" s="336">
        <f t="shared" si="30"/>
        <v>0</v>
      </c>
      <c r="X56" s="336" t="s">
        <v>467</v>
      </c>
      <c r="Y56" s="336" t="b">
        <f t="shared" si="19"/>
        <v>0</v>
      </c>
      <c r="Z56" s="336" t="b">
        <f t="shared" si="20"/>
        <v>1</v>
      </c>
      <c r="AA56" s="336" t="s">
        <v>498</v>
      </c>
    </row>
    <row r="57" spans="1:27" hidden="1" x14ac:dyDescent="0.2">
      <c r="A57" s="5">
        <v>14</v>
      </c>
      <c r="B57" s="6"/>
      <c r="C57" s="22"/>
      <c r="D57" s="22"/>
      <c r="E57" s="22"/>
      <c r="F57" s="22"/>
      <c r="G57" s="22"/>
      <c r="H57" s="42"/>
      <c r="I57" s="21"/>
      <c r="J57" s="21"/>
      <c r="K57" s="21"/>
      <c r="L57" s="344" t="str">
        <f t="shared" si="12"/>
        <v/>
      </c>
      <c r="M57" s="44" t="str">
        <f t="shared" si="23"/>
        <v/>
      </c>
      <c r="N57" s="273" t="str">
        <f t="shared" si="24"/>
        <v/>
      </c>
      <c r="O57" s="592"/>
      <c r="P57" s="593"/>
      <c r="Q57" s="336">
        <f t="shared" si="25"/>
        <v>0</v>
      </c>
      <c r="R57" s="337">
        <f t="shared" si="26"/>
        <v>0</v>
      </c>
      <c r="S57" s="336">
        <f t="shared" si="27"/>
        <v>0</v>
      </c>
      <c r="U57" s="336">
        <f t="shared" si="28"/>
        <v>0</v>
      </c>
      <c r="V57" s="336">
        <f t="shared" si="29"/>
        <v>0</v>
      </c>
      <c r="W57" s="336">
        <f t="shared" si="30"/>
        <v>0</v>
      </c>
      <c r="X57" s="336" t="s">
        <v>467</v>
      </c>
      <c r="Y57" s="336" t="b">
        <f t="shared" si="19"/>
        <v>0</v>
      </c>
      <c r="Z57" s="336" t="b">
        <f t="shared" si="20"/>
        <v>1</v>
      </c>
      <c r="AA57" s="336" t="s">
        <v>498</v>
      </c>
    </row>
    <row r="58" spans="1:27" ht="13.5" hidden="1" thickBot="1" x14ac:dyDescent="0.25">
      <c r="A58" s="5">
        <v>15</v>
      </c>
      <c r="B58" s="175"/>
      <c r="C58" s="29"/>
      <c r="D58" s="29"/>
      <c r="E58" s="29"/>
      <c r="F58" s="29"/>
      <c r="G58" s="179"/>
      <c r="H58" s="43"/>
      <c r="I58" s="30"/>
      <c r="J58" s="30"/>
      <c r="K58" s="30"/>
      <c r="L58" s="345" t="str">
        <f t="shared" si="12"/>
        <v/>
      </c>
      <c r="M58" s="180" t="str">
        <f t="shared" si="23"/>
        <v/>
      </c>
      <c r="N58" s="320" t="str">
        <f t="shared" si="24"/>
        <v/>
      </c>
      <c r="O58" s="592"/>
      <c r="P58" s="593"/>
      <c r="Q58" s="336">
        <f t="shared" si="25"/>
        <v>0</v>
      </c>
      <c r="R58" s="337">
        <f t="shared" si="26"/>
        <v>0</v>
      </c>
      <c r="S58" s="336">
        <f t="shared" si="27"/>
        <v>0</v>
      </c>
      <c r="U58" s="336">
        <f t="shared" si="28"/>
        <v>0</v>
      </c>
      <c r="V58" s="336">
        <f t="shared" si="29"/>
        <v>0</v>
      </c>
      <c r="W58" s="336">
        <f t="shared" si="30"/>
        <v>0</v>
      </c>
      <c r="X58" s="336" t="s">
        <v>467</v>
      </c>
      <c r="Y58" s="336" t="b">
        <f t="shared" si="19"/>
        <v>0</v>
      </c>
      <c r="Z58" s="336" t="b">
        <f t="shared" si="20"/>
        <v>1</v>
      </c>
      <c r="AA58" s="336" t="s">
        <v>498</v>
      </c>
    </row>
    <row r="59" spans="1:27" ht="13.5" hidden="1" thickBot="1" x14ac:dyDescent="0.25">
      <c r="B59" s="27">
        <f>COUNTIF(E44:E58,"*")</f>
        <v>0</v>
      </c>
      <c r="N59" s="321">
        <f>SUM(N44:N58)</f>
        <v>0</v>
      </c>
      <c r="O59" s="600"/>
      <c r="P59" s="601"/>
      <c r="Q59" s="336">
        <f>SUM(Q44:Q58)</f>
        <v>0</v>
      </c>
      <c r="R59" s="336">
        <f t="shared" ref="R59:W59" si="31">SUM(R44:R58)</f>
        <v>0</v>
      </c>
      <c r="S59" s="336">
        <f t="shared" si="31"/>
        <v>0</v>
      </c>
      <c r="U59" s="336">
        <f t="shared" si="31"/>
        <v>0</v>
      </c>
      <c r="V59" s="336">
        <f t="shared" si="31"/>
        <v>0</v>
      </c>
      <c r="W59" s="336">
        <f t="shared" si="31"/>
        <v>0</v>
      </c>
    </row>
    <row r="60" spans="1:27" hidden="1" x14ac:dyDescent="0.2"/>
    <row r="61" spans="1:27" hidden="1" x14ac:dyDescent="0.2"/>
  </sheetData>
  <sheetProtection algorithmName="SHA-512" hashValue="8zQf7/ISKVF6HSK07omNNjsgCwcr3vdtezIwaojyQd4yS7zjEEcG4ciftkg4VbSnsF3D6R4xc1QYldaunB0ftg==" saltValue="4lv5tuK1QZ+YMf+FT01eNQ==" spinCount="100000" sheet="1" objects="1" scenarios="1"/>
  <dataConsolidate/>
  <mergeCells count="66">
    <mergeCell ref="B4:H4"/>
    <mergeCell ref="O59:P59"/>
    <mergeCell ref="O13:P13"/>
    <mergeCell ref="O12:P12"/>
    <mergeCell ref="O11:P11"/>
    <mergeCell ref="O10:P10"/>
    <mergeCell ref="O28:P28"/>
    <mergeCell ref="O27:P27"/>
    <mergeCell ref="O26:P26"/>
    <mergeCell ref="O25:P25"/>
    <mergeCell ref="O24:P24"/>
    <mergeCell ref="O23:P23"/>
    <mergeCell ref="O22:P22"/>
    <mergeCell ref="O21:P21"/>
    <mergeCell ref="O20:P20"/>
    <mergeCell ref="O30:P30"/>
    <mergeCell ref="O53:P53"/>
    <mergeCell ref="O52:P52"/>
    <mergeCell ref="O51:P51"/>
    <mergeCell ref="O50:P50"/>
    <mergeCell ref="O49:P49"/>
    <mergeCell ref="O58:P58"/>
    <mergeCell ref="O57:P57"/>
    <mergeCell ref="O56:P56"/>
    <mergeCell ref="O55:P55"/>
    <mergeCell ref="O54:P54"/>
    <mergeCell ref="O9:P9"/>
    <mergeCell ref="O6:P6"/>
    <mergeCell ref="O8:P8"/>
    <mergeCell ref="O7:P7"/>
    <mergeCell ref="O48:P48"/>
    <mergeCell ref="O47:P47"/>
    <mergeCell ref="O46:P46"/>
    <mergeCell ref="O45:P45"/>
    <mergeCell ref="O44:P44"/>
    <mergeCell ref="O43:P43"/>
    <mergeCell ref="O16:P16"/>
    <mergeCell ref="O15:P15"/>
    <mergeCell ref="O14:P14"/>
    <mergeCell ref="O29:P29"/>
    <mergeCell ref="C24:H24"/>
    <mergeCell ref="C22:H22"/>
    <mergeCell ref="I30:M30"/>
    <mergeCell ref="C25:H25"/>
    <mergeCell ref="C29:F29"/>
    <mergeCell ref="I29:M29"/>
    <mergeCell ref="C26:H26"/>
    <mergeCell ref="C27:H27"/>
    <mergeCell ref="C28:H28"/>
    <mergeCell ref="C23:F23"/>
    <mergeCell ref="B42:D42"/>
    <mergeCell ref="H35:L39"/>
    <mergeCell ref="H33:L34"/>
    <mergeCell ref="A3:N3"/>
    <mergeCell ref="A1:N1"/>
    <mergeCell ref="B5:C5"/>
    <mergeCell ref="C15:F15"/>
    <mergeCell ref="J4:K4"/>
    <mergeCell ref="L5:M5"/>
    <mergeCell ref="L4:M4"/>
    <mergeCell ref="C16:F16"/>
    <mergeCell ref="J16:M16"/>
    <mergeCell ref="G15:M15"/>
    <mergeCell ref="B19:C19"/>
    <mergeCell ref="D19:K19"/>
    <mergeCell ref="C21:H21"/>
  </mergeCells>
  <phoneticPr fontId="5" type="noConversion"/>
  <conditionalFormatting sqref="N5">
    <cfRule type="cellIs" dxfId="60" priority="29" stopIfTrue="1" operator="equal">
      <formula>""</formula>
    </cfRule>
  </conditionalFormatting>
  <conditionalFormatting sqref="L21:L28 H8:H14">
    <cfRule type="cellIs" dxfId="59" priority="30" stopIfTrue="1" operator="lessThan">
      <formula>1</formula>
    </cfRule>
  </conditionalFormatting>
  <conditionalFormatting sqref="E7 H7 C7">
    <cfRule type="cellIs" dxfId="58" priority="31" stopIfTrue="1" operator="lessThanOrEqual">
      <formula>0</formula>
    </cfRule>
  </conditionalFormatting>
  <conditionalFormatting sqref="H23">
    <cfRule type="cellIs" dxfId="57" priority="32" stopIfTrue="1" operator="equal">
      <formula>""</formula>
    </cfRule>
  </conditionalFormatting>
  <conditionalFormatting sqref="G7 J5 H5">
    <cfRule type="cellIs" dxfId="56" priority="33" stopIfTrue="1" operator="lessThan">
      <formula>1</formula>
    </cfRule>
  </conditionalFormatting>
  <conditionalFormatting sqref="H44:H58">
    <cfRule type="cellIs" dxfId="55" priority="28" stopIfTrue="1" operator="lessThan">
      <formula>1</formula>
    </cfRule>
  </conditionalFormatting>
  <conditionalFormatting sqref="H7">
    <cfRule type="expression" dxfId="54" priority="24">
      <formula>IF(OR(N5&lt;&gt;"Federal - NIH",OR(AND(ISBLANK(I7),ISBLANK(J7),ISBLANK(K7)),AND(I7="",J7="",K7=""))),FALSE,IF(I7&gt;0,H7&gt;NIHSalaryCap,H7&gt;(NIHSalaryCap*8.5)/12))</formula>
    </cfRule>
  </conditionalFormatting>
  <conditionalFormatting sqref="H8:H14">
    <cfRule type="expression" dxfId="53" priority="23">
      <formula>IF(OR($N$5&lt;&gt;"Federal - NIH",OR(AND(ISBLANK(I8),ISBLANK(J8),ISBLANK(K8)),AND(I8="",J8="",K8=""))),FALSE,IF(I8&gt;0,H8&gt;NIHSalaryCap,H8&gt;(NIHSalaryCap*8.5)/12))</formula>
    </cfRule>
  </conditionalFormatting>
  <conditionalFormatting sqref="H9">
    <cfRule type="expression" dxfId="52" priority="22">
      <formula>IF(OR($N$5&lt;&gt;"Federal - NIH",OR(AND(ISBLANK(I9),ISBLANK(J9),ISBLANK(K9)),AND(I9="",J9="",K9=""))),FALSE,IF(I9&gt;0,H9&gt;NIHSalaryCap,H9&gt;(NIHSalaryCap*8.5)/12))</formula>
    </cfRule>
  </conditionalFormatting>
  <conditionalFormatting sqref="H10">
    <cfRule type="expression" dxfId="51" priority="21">
      <formula>IF(OR($N$5&lt;&gt;"Federal - NIH",OR(AND(ISBLANK(I10),ISBLANK(J10),ISBLANK(K10)),AND(I10="",J10="",K10=""))),FALSE,IF(I10&gt;0,H10&gt;NIHSalaryCap,H10&gt;(NIHSalaryCap*8.5)/12))</formula>
    </cfRule>
  </conditionalFormatting>
  <conditionalFormatting sqref="H11">
    <cfRule type="expression" dxfId="50" priority="20">
      <formula>IF(OR($N$5&lt;&gt;"Federal - NIH",OR(AND(ISBLANK(I11),ISBLANK(J11),ISBLANK(K11)),AND(I11="",J11="",K11=""))),FALSE,IF(I11&gt;0,H11&gt;NIHSalaryCap,H11&gt;(NIHSalaryCap*8.5)/12))</formula>
    </cfRule>
  </conditionalFormatting>
  <conditionalFormatting sqref="H12">
    <cfRule type="expression" dxfId="49" priority="19">
      <formula>IF(OR($N$5&lt;&gt;"Federal - NIH",OR(AND(ISBLANK(I12),ISBLANK(J12),ISBLANK(K12)),AND(I12="",J12="",K12=""))),FALSE,IF(I12&gt;0,H12&gt;NIHSalaryCap,H12&gt;(NIHSalaryCap*8.5)/12))</formula>
    </cfRule>
  </conditionalFormatting>
  <conditionalFormatting sqref="H13">
    <cfRule type="expression" dxfId="48" priority="18">
      <formula>IF(OR($N$5&lt;&gt;"Federal - NIH",OR(AND(ISBLANK(I13),ISBLANK(J13),ISBLANK(K13)),AND(I13="",J13="",K13=""))),FALSE,IF(I13&gt;0,H13&gt;NIHSalaryCap,H13&gt;(NIHSalaryCap*8.5)/12))</formula>
    </cfRule>
  </conditionalFormatting>
  <conditionalFormatting sqref="H14">
    <cfRule type="expression" dxfId="47" priority="17">
      <formula>IF(OR($N$5&lt;&gt;"Federal - NIH",OR(AND(ISBLANK(I14),ISBLANK(J14),ISBLANK(K14)),AND(I14="",J14="",K14=""))),FALSE,IF(I14&gt;0,H14&gt;NIHSalaryCap,H14&gt;(NIHSalaryCap*8.5)/12))</formula>
    </cfRule>
  </conditionalFormatting>
  <conditionalFormatting sqref="H44">
    <cfRule type="expression" dxfId="46" priority="16">
      <formula>IF(OR($N$5&lt;&gt;"Federal - NIH",OR(AND(ISBLANK(I44),ISBLANK(J44),ISBLANK(K44)),AND(I44="",J44="",K44=""))),FALSE,IF(I44&gt;0,H44&gt;NIHSalaryCap,H44&gt;(NIHSalaryCap*8.5)/12))</formula>
    </cfRule>
  </conditionalFormatting>
  <conditionalFormatting sqref="H45:H58">
    <cfRule type="expression" dxfId="45" priority="15">
      <formula>IF(OR($N$5&lt;&gt;"Federal - NIH",OR(AND(ISBLANK(I45),ISBLANK(J45),ISBLANK(K45)),AND(I45="",J45="",K45=""))),FALSE,IF(I45&gt;0,H45&gt;NIHSalaryCap,H45&gt;(NIHSalaryCap*8.5)/12))</formula>
    </cfRule>
  </conditionalFormatting>
  <conditionalFormatting sqref="H46">
    <cfRule type="expression" dxfId="44" priority="14">
      <formula>IF(OR($N$5&lt;&gt;"Federal - NIH",OR(AND(ISBLANK(I46),ISBLANK(J46),ISBLANK(K46)),AND(I46="",J46="",K46=""))),FALSE,IF(I46&gt;0,H46&gt;NIHSalaryCap,H46&gt;(NIHSalaryCap*8.5)/12))</formula>
    </cfRule>
  </conditionalFormatting>
  <conditionalFormatting sqref="H47">
    <cfRule type="expression" dxfId="43" priority="13">
      <formula>IF(OR($N$5&lt;&gt;"Federal - NIH",OR(AND(ISBLANK(I47),ISBLANK(J47),ISBLANK(K47)),AND(I47="",J47="",K47=""))),FALSE,IF(I47&gt;0,H47&gt;NIHSalaryCap,H47&gt;(NIHSalaryCap*8.5)/12))</formula>
    </cfRule>
  </conditionalFormatting>
  <conditionalFormatting sqref="H48">
    <cfRule type="expression" dxfId="42" priority="12">
      <formula>IF(OR($N$5&lt;&gt;"Federal - NIH",OR(AND(ISBLANK(I48),ISBLANK(J48),ISBLANK(K48)),AND(I48="",J48="",K48=""))),FALSE,IF(I48&gt;0,H48&gt;NIHSalaryCap,H48&gt;(NIHSalaryCap*8.5)/12))</formula>
    </cfRule>
  </conditionalFormatting>
  <conditionalFormatting sqref="H49">
    <cfRule type="expression" dxfId="41" priority="11">
      <formula>IF(OR($N$5&lt;&gt;"Federal - NIH",OR(AND(ISBLANK(I49),ISBLANK(J49),ISBLANK(K49)),AND(I49="",J49="",K49=""))),FALSE,IF(I49&gt;0,H49&gt;NIHSalaryCap,H49&gt;(NIHSalaryCap*8.5)/12))</formula>
    </cfRule>
  </conditionalFormatting>
  <conditionalFormatting sqref="H50">
    <cfRule type="expression" dxfId="40" priority="10">
      <formula>IF(OR($N$5&lt;&gt;"Federal - NIH",OR(AND(ISBLANK(I50),ISBLANK(J50),ISBLANK(K50)),AND(I50="",J50="",K50=""))),FALSE,IF(I50&gt;0,H50&gt;NIHSalaryCap,H50&gt;(NIHSalaryCap*8.5)/12))</formula>
    </cfRule>
  </conditionalFormatting>
  <conditionalFormatting sqref="H51">
    <cfRule type="expression" dxfId="39" priority="9">
      <formula>IF(OR($N$5&lt;&gt;"Federal - NIH",OR(AND(ISBLANK(I51),ISBLANK(J51),ISBLANK(K51)),AND(I51="",J51="",K51=""))),FALSE,IF(I51&gt;0,H51&gt;NIHSalaryCap,H51&gt;(NIHSalaryCap*8.5)/12))</formula>
    </cfRule>
  </conditionalFormatting>
  <conditionalFormatting sqref="H52">
    <cfRule type="expression" dxfId="38" priority="8">
      <formula>IF(OR($N$5&lt;&gt;"Federal - NIH",OR(AND(ISBLANK(I52),ISBLANK(J52),ISBLANK(K52)),AND(I52="",J52="",K52=""))),FALSE,IF(I52&gt;0,H52&gt;NIHSalaryCap,H52&gt;(NIHSalaryCap*8.5)/12))</formula>
    </cfRule>
  </conditionalFormatting>
  <conditionalFormatting sqref="H53">
    <cfRule type="expression" dxfId="37" priority="7">
      <formula>IF(OR($N$5&lt;&gt;"Federal - NIH",OR(AND(ISBLANK(I53),ISBLANK(J53),ISBLANK(K53)),AND(I53="",J53="",K53=""))),FALSE,IF(I53&gt;0,H53&gt;NIHSalaryCap,H53&gt;(NIHSalaryCap*8.5)/12))</formula>
    </cfRule>
  </conditionalFormatting>
  <conditionalFormatting sqref="H54">
    <cfRule type="expression" dxfId="36" priority="6">
      <formula>IF(OR($N$5&lt;&gt;"Federal - NIH",OR(AND(ISBLANK(I54),ISBLANK(J54),ISBLANK(K54)),AND(I54="",J54="",K54=""))),FALSE,IF(I54&gt;0,H54&gt;NIHSalaryCap,H54&gt;(NIHSalaryCap*8.5)/12))</formula>
    </cfRule>
  </conditionalFormatting>
  <conditionalFormatting sqref="H55">
    <cfRule type="expression" dxfId="35" priority="5">
      <formula>IF(OR($N$5&lt;&gt;"Federal - NIH",OR(AND(ISBLANK(I55),ISBLANK(J55),ISBLANK(K55)),AND(I55="",J55="",K55=""))),FALSE,IF(I55&gt;0,H55&gt;NIHSalaryCap,H55&gt;(NIHSalaryCap*8.5)/12))</formula>
    </cfRule>
  </conditionalFormatting>
  <conditionalFormatting sqref="H56">
    <cfRule type="expression" dxfId="34" priority="4">
      <formula>IF(OR($N$5&lt;&gt;"Federal - NIH",OR(AND(ISBLANK(I56),ISBLANK(J56),ISBLANK(K56)),AND(I56="",J56="",K56=""))),FALSE,IF(I56&gt;0,H56&gt;NIHSalaryCap,H56&gt;(NIHSalaryCap*8.5)/12))</formula>
    </cfRule>
  </conditionalFormatting>
  <conditionalFormatting sqref="H57">
    <cfRule type="expression" dxfId="33" priority="3">
      <formula>IF(OR($N$5&lt;&gt;"Federal - NIH",OR(AND(ISBLANK(I57),ISBLANK(J57),ISBLANK(K57)),AND(I57="",J57="",K57=""))),FALSE,IF(I57&gt;0,H57&gt;NIHSalaryCap,H57&gt;(NIHSalaryCap*8.5)/12))</formula>
    </cfRule>
  </conditionalFormatting>
  <conditionalFormatting sqref="H58">
    <cfRule type="expression" dxfId="32" priority="2">
      <formula>IF(OR($N$5&lt;&gt;"Federal - NIH",OR(AND(ISBLANK(I58),ISBLANK(J58),ISBLANK(K58)),AND(I58="",J58="",K58=""))),FALSE,IF(I58&gt;0,H58&gt;NIHSalaryCap,H58&gt;(NIHSalaryCap*8.5)/12))</formula>
    </cfRule>
  </conditionalFormatting>
  <conditionalFormatting sqref="Y49">
    <cfRule type="expression" dxfId="31" priority="1">
      <formula>IF(OR($N$5&lt;&gt;"Federal - NIH",OR(AND(ISBLANK(I49),ISBLANK(J49),ISBLANK(K49)),AND(I49="",J49="",K49=""))),FALSE,IF(I49&gt;0,H49&gt;NIHSalaryCap,H49&gt;(NIHSalaryCap*8.5)/12))</formula>
    </cfRule>
  </conditionalFormatting>
  <dataValidations count="14">
    <dataValidation type="list" allowBlank="1" showInputMessage="1" showErrorMessage="1" sqref="N5 H23" xr:uid="{00000000-0002-0000-0100-000000000000}">
      <formula1>Grad</formula1>
    </dataValidation>
    <dataValidation type="list" allowBlank="1" showInputMessage="1" showErrorMessage="1" sqref="B7:B14 B44:B58" xr:uid="{00000000-0002-0000-0100-000001000000}">
      <formula1>Prefix</formula1>
    </dataValidation>
    <dataValidation type="list" allowBlank="1" showInputMessage="1" showErrorMessage="1" sqref="G7:G14 G44:G58" xr:uid="{00000000-0002-0000-0100-000002000000}">
      <formula1>Roles</formula1>
    </dataValidation>
    <dataValidation type="list" allowBlank="1" showInputMessage="1" showErrorMessage="1" sqref="J5" xr:uid="{00000000-0002-0000-0100-000003000000}">
      <formula1>Duration</formula1>
    </dataValidation>
    <dataValidation type="list" allowBlank="1" showInputMessage="1" showErrorMessage="1" sqref="O5" xr:uid="{00000000-0002-0000-0100-000004000000}">
      <formula1>NIHSalaryCap</formula1>
    </dataValidation>
    <dataValidation type="custom" errorStyle="information" showInputMessage="1" showErrorMessage="1" errorTitle="Salary Cap Error" error="Base salary should remain under $185,100 for calandar appointments and $131,112 for academic appointments." sqref="H7" xr:uid="{00000000-0002-0000-0100-000005000000}">
      <formula1>IF(AND(N5="Federal - NIH",OR(NOT(ISBLANK(I7)),NOT(ISBLANK(J7)),NOT(ISBLANK(K7)),I7&lt;&gt;"",J7&lt;&gt;"",K7&lt;&gt;"")),IF(I7&gt;0,H7&lt;=NIHSalaryCap,H7&lt;=(NIHSalaryCap*8.5)/12),TRUE)</formula1>
    </dataValidation>
    <dataValidation type="custom" errorStyle="information" showInputMessage="1" showErrorMessage="1" errorTitle="Salary Cap Error" error="Base salary should remain under $185,100 for calandar appointments and $131,112 for academic appointments." sqref="I7" xr:uid="{00000000-0002-0000-0100-000006000000}">
      <formula1>IF(AND(N5="Federal - NIH",OR(NOT(ISBLANK(I7)),NOT(ISBLANK(J7)),NOT(ISBLANK(K7)),I7&lt;&gt;"",J7&lt;&gt;"",K7&lt;&gt;"")),IF(I7&gt;0,H7&lt;=NIHSalaryCap,H7&lt;=(NIHSalaryCap*8.5)/12),TRUE)</formula1>
    </dataValidation>
    <dataValidation type="custom" errorStyle="information" showInputMessage="1" showErrorMessage="1" errorTitle="Salary Cap Error" error="Base salary should remain under $185,100 for calandar appointments and $131,112 for academic appointments." sqref="J7" xr:uid="{00000000-0002-0000-0100-000007000000}">
      <formula1>IF(AND(N5="Federal - NIH",OR(NOT(ISBLANK(I7)),NOT(ISBLANK(J7)),NOT(ISBLANK(K7)),I7&lt;&gt;"",J7&lt;&gt;"",K7&lt;&gt;"")),IF(I7&gt;0,H7&lt;=NIHSalaryCap,H7&lt;=(NIHSalaryCap*8.5)/12),TRUE)</formula1>
    </dataValidation>
    <dataValidation type="custom" errorStyle="information" showInputMessage="1" showErrorMessage="1" errorTitle="Salary Cap Error" error="Base salary should remain under $185,100 for calandar appointments and $131,112 for academic appointments." sqref="K7" xr:uid="{00000000-0002-0000-0100-000008000000}">
      <formula1>IF(AND(N5="Federal - NIH",OR(NOT(ISBLANK(I7)),NOT(ISBLANK(J7)),NOT(ISBLANK(K7)),I7&lt;&gt;"",J7&lt;&gt;"",K7&lt;&gt;"")),IF(I7&gt;0,H7&lt;=NIHSalaryCap,H7&lt;=(NIHSalaryCap*8.5)/12),TRUE)</formula1>
    </dataValidation>
    <dataValidation type="custom" errorStyle="information" showInputMessage="1" showErrorMessage="1" errorTitle="Salary Cap Error" error="Base salary should remain under $185,100 for calandar appointments and $131,112 for academic appointments." sqref="H8:H14 H44:H58" xr:uid="{00000000-0002-0000-0100-000009000000}">
      <formula1>IF(AND($N$5="Federal - NIH",OR(NOT(ISBLANK(I8)),NOT(ISBLANK(J8)),NOT(ISBLANK(K8)),I8&lt;&gt;"",J8&lt;&gt;"",K8&lt;&gt;"")),IF(I8&gt;0,H8&lt;=NIHSalaryCap,H8&lt;=(NIHSalaryCap*8.5)/12),TRUE)</formula1>
    </dataValidation>
    <dataValidation type="custom" errorStyle="information" showInputMessage="1" showErrorMessage="1" errorTitle="Salary Cap Error" error="Base salary should remain under $185,100 for calandar appointments and $131,112 for academic appointments." sqref="J8:J14 J44:J58" xr:uid="{00000000-0002-0000-0100-00000A000000}">
      <formula1>IF(AND($N$5="Federal - NIH",OR(NOT(ISBLANK(I8)),NOT(ISBLANK(J8)),NOT(ISBLANK(K8)),I8&lt;&gt;"",J8&lt;&gt;"",K8&lt;&gt;"")),IF(I8&gt;0,H8&lt;=NIHSalaryCap,H8&lt;=(NIHSalaryCap*8.5)/12),TRUE)</formula1>
    </dataValidation>
    <dataValidation type="custom" errorStyle="information" showInputMessage="1" showErrorMessage="1" errorTitle="Salary Cap Error" error="Base salary should remain under $185,100 for calandar appointments and $131,112 for academic appointments." sqref="I8:I14 I44:I58" xr:uid="{00000000-0002-0000-0100-00000B000000}">
      <formula1>IF(AND($N$5="Federal - NIH",OR(NOT(ISBLANK(I8)),NOT(ISBLANK(J8)),NOT(ISBLANK(K8)),I8&lt;&gt;"",J8&lt;&gt;"",K8&lt;&gt;"")),IF(I8&gt;0,H8&lt;=NIHSalaryCap,H8&lt;=(NIHSalaryCap*8.5)/12),TRUE)</formula1>
    </dataValidation>
    <dataValidation type="custom" errorStyle="information" showInputMessage="1" showErrorMessage="1" errorTitle="Salary Cap Error" error="Base salary should remain under $185,100 for calandar appointments and $131,112 for academic appointments." sqref="K8:K14 K44:K57" xr:uid="{00000000-0002-0000-0100-00000C000000}">
      <formula1>IF(AND($N$5="Federal - NIH",OR(NOT(ISBLANK(I8)),NOT(ISBLANK(J8)),NOT(ISBLANK(K8)),I8&lt;&gt;"",J8&lt;&gt;"",K8&lt;&gt;"")),IF(I8&gt;0,H8&lt;=NIHSalaryCap,H8&lt;=(NIHSalaryCap*8.5)/12),TRUE)</formula1>
    </dataValidation>
    <dataValidation type="custom" errorStyle="information" showInputMessage="1" showErrorMessage="1" errorTitle="Salary Cap Error" error="Base salary should remain under $185,100 for calandar appointments and $131,112 for academic appointments.nts." sqref="K58" xr:uid="{00000000-0002-0000-0100-00000F000000}">
      <formula1>IF(AND($N$5="Federal - NIH",OR(NOT(ISBLANK(I58)),NOT(ISBLANK(J58)),NOT(ISBLANK(K58)),I58&lt;&gt;"",J58&lt;&gt;"",K58&lt;&gt;"")),IF(I58&gt;0,H58&lt;=NIHSalaryCap,H58&lt;=(NIHSalaryCap*8.5)/12),TRUE)</formula1>
    </dataValidation>
  </dataValidations>
  <printOptions horizontalCentered="1"/>
  <pageMargins left="0.25" right="0.25" top="0.5" bottom="0.5" header="0.5" footer="0.5"/>
  <pageSetup scale="91" orientation="landscape" r:id="rId1"/>
  <headerFooter alignWithMargins="0">
    <oddFooter>&amp;RPrinted On: &amp;D &amp;T</oddFooter>
  </headerFooter>
  <extLst>
    <ext xmlns:x14="http://schemas.microsoft.com/office/spreadsheetml/2009/9/main" uri="{78C0D931-6437-407d-A8EE-F0AAD7539E65}">
      <x14:conditionalFormattings>
        <x14:conditionalFormatting xmlns:xm="http://schemas.microsoft.com/office/excel/2006/main">
          <x14:cfRule type="expression" priority="25" id="{9C49EFE4-FDD0-4336-B8EE-E96302A2AEFD}">
            <xm:f>IF(N5="Federal - NIH",SUM('Non-personnel'!$H$41,$N$23)/IF(OR(ISBLANK($B$23),NOT(ISNUMBER($B$23))),1,$B$23)&gt;NIHGradLimit)</xm:f>
            <x14:dxf>
              <fill>
                <patternFill>
                  <bgColor rgb="FFFFFF00"/>
                </patternFill>
              </fill>
            </x14:dxf>
          </x14:cfRule>
          <xm:sqref>N23</xm:sqref>
        </x14:conditionalFormatting>
      </x14:conditionalFormattings>
    </ext>
    <ext xmlns:x14="http://schemas.microsoft.com/office/spreadsheetml/2009/9/main" uri="{CCE6A557-97BC-4b89-ADB6-D9C93CAAB3DF}">
      <x14:dataValidations xmlns:xm="http://schemas.microsoft.com/office/excel/2006/main" count="1">
        <x14:dataValidation type="custom" errorStyle="information" showInputMessage="1" showErrorMessage="1" errorTitle="Grad Rate Error" error="Graduate Student Compensation potentially exceeds NIH cap of $43,692/student.  Please note: NIH Graduate Student Componsation Cap equals Salary + Fringe Benefits + any Tuition Needs requested." xr:uid="{00000000-0002-0000-0100-00001A000000}">
          <x14:formula1>
            <xm:f>OR(AND(N5="Federal - NIH",SUM('Non-personnel'!$H$41,$N$23)/IF(OR(ISBLANK($B$23),NOT(ISNUMBER($B$23))),1,$B$23)&lt;=NIHGradLimit),N5&lt;&gt;"Federal - NIH")</xm:f>
          </x14:formula1>
          <xm:sqref>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59"/>
  <sheetViews>
    <sheetView zoomScaleNormal="100" workbookViewId="0">
      <selection sqref="A1:N1"/>
    </sheetView>
  </sheetViews>
  <sheetFormatPr defaultRowHeight="12.75" x14ac:dyDescent="0.2"/>
  <cols>
    <col min="1" max="1" width="3" bestFit="1" customWidth="1"/>
    <col min="2" max="2" width="6.5703125" customWidth="1"/>
    <col min="3" max="3" width="18.7109375" customWidth="1"/>
    <col min="4" max="4" width="9.28515625" customWidth="1"/>
    <col min="5" max="5" width="18.7109375" customWidth="1"/>
    <col min="6" max="6" width="6.28515625" customWidth="1"/>
    <col min="7" max="7" width="18.85546875" customWidth="1"/>
    <col min="8" max="8" width="10.5703125" customWidth="1"/>
    <col min="9" max="11" width="7.42578125" customWidth="1"/>
    <col min="12" max="14" width="10.5703125" customWidth="1"/>
    <col min="15" max="15" width="72.140625" customWidth="1"/>
    <col min="16" max="27" width="9.140625" style="336"/>
  </cols>
  <sheetData>
    <row r="1" spans="1:27" ht="18" x14ac:dyDescent="0.25">
      <c r="A1" s="561" t="s">
        <v>507</v>
      </c>
      <c r="B1" s="561"/>
      <c r="C1" s="561"/>
      <c r="D1" s="561"/>
      <c r="E1" s="561"/>
      <c r="F1" s="561"/>
      <c r="G1" s="561"/>
      <c r="H1" s="561"/>
      <c r="I1" s="561"/>
      <c r="J1" s="561"/>
      <c r="K1" s="561"/>
      <c r="L1" s="561"/>
      <c r="M1" s="561"/>
      <c r="N1" s="561"/>
    </row>
    <row r="2" spans="1:27" x14ac:dyDescent="0.2">
      <c r="A2" s="1"/>
      <c r="B2" s="1"/>
      <c r="C2" s="1"/>
      <c r="D2" s="1"/>
      <c r="E2" s="1"/>
      <c r="F2" s="1"/>
      <c r="G2" s="1"/>
      <c r="H2" s="1"/>
      <c r="I2" s="1"/>
      <c r="J2" s="1"/>
      <c r="K2" s="1"/>
      <c r="L2" s="1"/>
      <c r="M2" s="1"/>
      <c r="N2" s="1"/>
    </row>
    <row r="3" spans="1:27" ht="18" x14ac:dyDescent="0.25">
      <c r="A3" s="561" t="s">
        <v>78</v>
      </c>
      <c r="B3" s="561"/>
      <c r="C3" s="561"/>
      <c r="D3" s="561"/>
      <c r="E3" s="561"/>
      <c r="F3" s="561"/>
      <c r="G3" s="561"/>
      <c r="H3" s="561"/>
      <c r="I3" s="561"/>
      <c r="J3" s="561"/>
      <c r="K3" s="561"/>
      <c r="L3" s="561"/>
      <c r="M3" s="561"/>
      <c r="N3" s="561"/>
    </row>
    <row r="4" spans="1:27" ht="18" x14ac:dyDescent="0.25">
      <c r="A4" s="63"/>
      <c r="B4" s="63"/>
      <c r="C4" s="63"/>
      <c r="D4" s="63"/>
      <c r="E4" s="63"/>
      <c r="F4" s="63"/>
      <c r="G4" s="63"/>
      <c r="H4" s="63"/>
      <c r="I4" s="63"/>
      <c r="J4" s="63"/>
      <c r="K4" s="63"/>
      <c r="L4" s="63"/>
      <c r="M4" s="63"/>
      <c r="N4" s="63"/>
    </row>
    <row r="5" spans="1:27" x14ac:dyDescent="0.2">
      <c r="A5" s="2"/>
      <c r="B5" s="562" t="s">
        <v>5</v>
      </c>
      <c r="C5" s="562"/>
      <c r="D5" s="74"/>
      <c r="E5" s="67"/>
      <c r="F5" s="72"/>
      <c r="G5" s="72"/>
      <c r="H5" s="2"/>
      <c r="I5" s="2"/>
      <c r="J5" s="2"/>
      <c r="K5" s="2"/>
      <c r="L5" s="2"/>
      <c r="M5" s="2"/>
      <c r="N5" s="347" t="str">
        <f>'Personnel Yr 1'!$N$5</f>
        <v>Fnd/Prof Soc</v>
      </c>
      <c r="O5" s="9"/>
    </row>
    <row r="6" spans="1:27" ht="26.25" thickBot="1" x14ac:dyDescent="0.25">
      <c r="A6" s="2"/>
      <c r="B6" s="4" t="s">
        <v>0</v>
      </c>
      <c r="C6" s="3" t="s">
        <v>1</v>
      </c>
      <c r="D6" s="3" t="s">
        <v>2</v>
      </c>
      <c r="E6" s="3" t="s">
        <v>3</v>
      </c>
      <c r="F6" s="3" t="s">
        <v>4</v>
      </c>
      <c r="G6" s="3" t="s">
        <v>42</v>
      </c>
      <c r="H6" s="3" t="s">
        <v>43</v>
      </c>
      <c r="I6" s="3" t="s">
        <v>60</v>
      </c>
      <c r="J6" s="3" t="s">
        <v>61</v>
      </c>
      <c r="K6" s="3" t="s">
        <v>62</v>
      </c>
      <c r="L6" s="4" t="s">
        <v>44</v>
      </c>
      <c r="M6" s="3" t="s">
        <v>45</v>
      </c>
      <c r="N6" s="3" t="s">
        <v>41</v>
      </c>
      <c r="O6" s="3" t="s">
        <v>234</v>
      </c>
      <c r="P6" s="335" t="s">
        <v>66</v>
      </c>
      <c r="Q6" s="335" t="s">
        <v>67</v>
      </c>
      <c r="R6" s="335" t="s">
        <v>68</v>
      </c>
      <c r="S6" s="347"/>
      <c r="T6" s="335" t="s">
        <v>66</v>
      </c>
      <c r="U6" s="335" t="s">
        <v>67</v>
      </c>
      <c r="V6" s="335" t="s">
        <v>68</v>
      </c>
      <c r="Y6" s="336" t="s">
        <v>464</v>
      </c>
      <c r="Z6" s="336" t="s">
        <v>465</v>
      </c>
    </row>
    <row r="7" spans="1:27" x14ac:dyDescent="0.2">
      <c r="A7" s="5">
        <v>1</v>
      </c>
      <c r="B7" s="75" t="str">
        <f>IF('Personnel Yr 1'!$J$5&gt;1,IF(NOT(OR(ISBLANK('Personnel Yr 1'!B7),'Personnel Yr 1'!B7="")),'Personnel Yr 1'!B7,""),"")</f>
        <v/>
      </c>
      <c r="C7" s="17" t="str">
        <f>IF('Personnel Yr 1'!$J$5&gt;1,IF(ISBLANK('Personnel Yr 1'!C7),"",'Personnel Yr 1'!C7),"")</f>
        <v/>
      </c>
      <c r="D7" s="17" t="str">
        <f>IF('Personnel Yr 1'!$J$5&gt;1,IF(ISBLANK('Personnel Yr 1'!D7),"",'Personnel Yr 1'!D7),"")</f>
        <v xml:space="preserve"> </v>
      </c>
      <c r="E7" s="17" t="str">
        <f>IF('Personnel Yr 1'!$J$5&gt;1,IF(ISBLANK('Personnel Yr 1'!E7),"",'Personnel Yr 1'!E7),"")</f>
        <v/>
      </c>
      <c r="F7" s="17" t="str">
        <f>IF('Personnel Yr 1'!$J$5&gt;1,IF(ISBLANK('Personnel Yr 1'!F7),"",'Personnel Yr 1'!F7),"")</f>
        <v/>
      </c>
      <c r="G7" s="17" t="str">
        <f>IF('Personnel Yr 1'!$J$5&gt;1,IF(ISBLANK('Personnel Yr 1'!G7),"",'Personnel Yr 1'!G7),"")</f>
        <v/>
      </c>
      <c r="H7" s="177" t="str">
        <f>IF('Personnel Yr 1'!$J$5&gt;1,IF(NOT(ISBLANK('Personnel Yr 1'!H7)),(('Personnel Yr 1'!H7*'Personnel Yr 1'!$D$5)+'Personnel Yr 1'!H7),""),"")</f>
        <v/>
      </c>
      <c r="I7" s="17" t="str">
        <f>IF('Personnel Yr 1'!$J$5&gt;1,IF(AND(OR(ISBLANK($H7),$H7=""),ISBLANK('Personnel Yr 1'!I7)),"",'Personnel Yr 1'!I7),"")</f>
        <v/>
      </c>
      <c r="J7" s="17" t="str">
        <f>IF('Personnel Yr 1'!$J$5&gt;1,IF(AND(OR(ISBLANK($H7),$H7=""),ISBLANK('Personnel Yr 1'!J7)),"",'Personnel Yr 1'!J7),"")</f>
        <v/>
      </c>
      <c r="K7" s="17" t="str">
        <f>IF('Personnel Yr 1'!$J$5&gt;1,IF(AND(OR(ISBLANK($H7),$H7=""),ISBLANK('Personnel Yr 1'!K7)),"",'Personnel Yr 1'!K7),"")</f>
        <v/>
      </c>
      <c r="L7" s="45" t="str">
        <f>IF('Personnel Yr 1'!$J$5&gt;1,IF(NOT(OR(ISBLANK(H7),H7="")), IF(OR(AND(ISBLANK(I7),ISBLANK(J7),ISBLANK(K7)),AND(I7="",J7="",K7="")),0, IF((AND((I7&gt;0),((J7+K7)&gt;0))),"Error", IF((I7&gt;0),ROUND((IF(AND('Personnel Yr 1'!$O$5&gt;0,H7&gt;'Personnel Yr 1'!$O$5),'Personnel Yr 1'!$O$5,H7)*(I7/12)),2),ROUND((IF(AND('Personnel Yr 1'!$O$5&gt;0,H7&gt;'Personnel Yr 1'!$O$5),'Personnel Yr 1'!$O$5,H7)*((J7+K7)/8.5)),2)))),""),"")</f>
        <v/>
      </c>
      <c r="M7" s="45" t="str">
        <f>IF('Personnel Yr 1'!$J$5&gt;1,IF(OR(ISBLANK(L7),L7=""),"",ROUND(SUM(T7:V7),2)),"")</f>
        <v/>
      </c>
      <c r="N7" s="46" t="str">
        <f>IF('Personnel Yr 1'!$J$5&gt;1,IF(OR(ISBLANK(M7),M7=""),"",ROUND(SUM(L7:M7),2)),"")</f>
        <v/>
      </c>
      <c r="O7" s="158"/>
      <c r="P7" s="347" t="str">
        <f>IF('Personnel Yr 1'!$J$5&gt;1,IF(NOT(OR(ISBLANK(I7),I7="")),(H7/12)*I7,""),0)</f>
        <v/>
      </c>
      <c r="Q7" s="347" t="str">
        <f>IF('Personnel Yr 1'!$J$5&gt;1,IF(NOT(OR(ISBLANK(J7),J7="")),(H7/8.5)*J7,""),0)</f>
        <v/>
      </c>
      <c r="R7" s="347" t="str">
        <f>IF('Personnel Yr 1'!$J$5&gt;1,IF(NOT(OR(ISBLANK(K7),K7="")),(H7/8.5)*K7,""),0)</f>
        <v/>
      </c>
      <c r="S7" s="347"/>
      <c r="T7" s="347">
        <f>IF(OR(ISBLANK(P7),P7=""),0,P7*LOOKUP("Full",Ben,Per))</f>
        <v>0</v>
      </c>
      <c r="U7" s="347">
        <f>IF(OR(ISBLANK(Q7),Q7=""),0,Q7*LOOKUP("Full",Ben,Per))</f>
        <v>0</v>
      </c>
      <c r="V7" s="347">
        <f>IF(OR(ISBLANK(R7),R7=""),0,R7*LOOKUP("Summer",Ben,Per))</f>
        <v>0</v>
      </c>
      <c r="Y7" s="336" t="b">
        <f>IF('Personnel Yr 1'!$J$5&gt;1,IF(OR($N$5&lt;&gt;"Federal - NIH",OR(AND(ISBLANK(I7),ISBLANK(J7),ISBLANK(K7)),AND(I7="",J7="",K7=""))),FALSE,IF(I7&gt;0,H7&gt;NIHSalaryCap,H7&gt;(NIHSalaryCap*8.5)/12)),FALSE)</f>
        <v>0</v>
      </c>
      <c r="Z7" s="336" t="b">
        <f>IF('Personnel Yr 1'!$J$5&gt;1,IF(AND($N$5="Federal - NIH",OR(NOT(ISBLANK(I7)),NOT(ISBLANK(J7)),NOT(ISBLANK(K7)),I7&lt;&gt;"",J7&lt;&gt;"",K7&lt;&gt;"")),IF(I7&gt;0,H7&lt;=NIHSalaryCap,H7&lt;=(NIHSalaryCap*8.5)/12),TRUE),TRUE)</f>
        <v>1</v>
      </c>
      <c r="AA7" s="336" t="s">
        <v>466</v>
      </c>
    </row>
    <row r="8" spans="1:27" x14ac:dyDescent="0.2">
      <c r="A8" s="5">
        <v>2</v>
      </c>
      <c r="B8" s="6" t="str">
        <f>IF('Personnel Yr 1'!$J$5&gt;1,IF(NOT(OR(ISBLANK('Personnel Yr 1'!B8),'Personnel Yr 1'!B8="")),'Personnel Yr 1'!B8,""),"")</f>
        <v/>
      </c>
      <c r="C8" s="22" t="str">
        <f>IF('Personnel Yr 1'!$J$5&gt;1,IF(ISBLANK('Personnel Yr 1'!C8),"",'Personnel Yr 1'!C8),"")</f>
        <v/>
      </c>
      <c r="D8" s="22" t="str">
        <f>IF('Personnel Yr 1'!$J$5&gt;1,IF(ISBLANK('Personnel Yr 1'!D8),"",'Personnel Yr 1'!D8),"")</f>
        <v/>
      </c>
      <c r="E8" s="22" t="str">
        <f>IF('Personnel Yr 1'!$J$5&gt;1,IF(ISBLANK('Personnel Yr 1'!E8),"",'Personnel Yr 1'!E8),"")</f>
        <v/>
      </c>
      <c r="F8" s="22" t="str">
        <f>IF('Personnel Yr 1'!$J$5&gt;1,IF(ISBLANK('Personnel Yr 1'!F8),"",'Personnel Yr 1'!F8),"")</f>
        <v/>
      </c>
      <c r="G8" s="22" t="str">
        <f>IF('Personnel Yr 1'!$J$5&gt;1,IF(ISBLANK('Personnel Yr 1'!G8),"",'Personnel Yr 1'!G8),"")</f>
        <v/>
      </c>
      <c r="H8" s="42" t="str">
        <f>IF('Personnel Yr 1'!$J$5&gt;1,IF(NOT(ISBLANK('Personnel Yr 1'!H8)),(('Personnel Yr 1'!H8*'Personnel Yr 1'!$D$5)+'Personnel Yr 1'!H8),""),"")</f>
        <v/>
      </c>
      <c r="I8" s="22" t="str">
        <f>IF('Personnel Yr 1'!$J$5&gt;1,IF(AND(OR(ISBLANK($H8),$H8=""),ISBLANK('Personnel Yr 1'!I8)),"",'Personnel Yr 1'!I8),"")</f>
        <v/>
      </c>
      <c r="J8" s="22" t="str">
        <f>IF('Personnel Yr 1'!$J$5&gt;1,IF(AND(OR(ISBLANK($H8),$H8=""),ISBLANK('Personnel Yr 1'!J8)),"",'Personnel Yr 1'!J8),"")</f>
        <v/>
      </c>
      <c r="K8" s="22" t="str">
        <f>IF('Personnel Yr 1'!$J$5&gt;1,IF(AND(OR(ISBLANK($H8),$H8=""),ISBLANK('Personnel Yr 1'!K8)),"",'Personnel Yr 1'!K8),"")</f>
        <v/>
      </c>
      <c r="L8" s="44" t="str">
        <f>IF('Personnel Yr 1'!$J$5&gt;1,IF(NOT(OR(ISBLANK(H8),H8="")), IF(OR(AND(ISBLANK(I8),ISBLANK(J8),ISBLANK(K8)),AND(I8="",J8="",K8="")),0, IF((AND((I8&gt;0),((J8+K8)&gt;0))),"Error", IF((I8&gt;0),ROUND((IF(AND('Personnel Yr 1'!$O$5&gt;0,H8&gt;'Personnel Yr 1'!$O$5),'Personnel Yr 1'!$O$5,H8)*(I8/12)),2),ROUND((IF(AND('Personnel Yr 1'!$O$5&gt;0,H8&gt;'Personnel Yr 1'!$O$5),'Personnel Yr 1'!$O$5,H8)*((J8+K8)/8.5)),2)))),""),"")</f>
        <v/>
      </c>
      <c r="M8" s="44" t="str">
        <f>IF('Personnel Yr 1'!$J$5&gt;1,IF(OR(ISBLANK(L8),L8=""),"",ROUND(SUM(T8:V8),2)),"")</f>
        <v/>
      </c>
      <c r="N8" s="51" t="str">
        <f>IF('Personnel Yr 1'!$J$5&gt;1,IF(OR(ISBLANK(M8),M8=""),"",ROUND(SUM(L8:M8),2)),"")</f>
        <v/>
      </c>
      <c r="O8" s="159"/>
      <c r="P8" s="347" t="str">
        <f>IF('Personnel Yr 1'!$J$5&gt;1,IF(NOT(OR(ISBLANK(I8),I8="")),(H8/12)*I8,""),0)</f>
        <v/>
      </c>
      <c r="Q8" s="347" t="str">
        <f>IF('Personnel Yr 1'!$J$5&gt;1,IF(NOT(OR(ISBLANK(J8),J8="")),(H8/8.5)*J8,""),0)</f>
        <v/>
      </c>
      <c r="R8" s="347" t="str">
        <f>IF('Personnel Yr 1'!$J$5&gt;1,IF(NOT(OR(ISBLANK(K8),K8="")),(H8/8.5)*K8,""),0)</f>
        <v/>
      </c>
      <c r="S8" s="347"/>
      <c r="T8" s="347">
        <f t="shared" ref="T8:U14" si="0">IF(OR(ISBLANK(P8),P8=""),0,P8*LOOKUP("Full",Ben,Per))</f>
        <v>0</v>
      </c>
      <c r="U8" s="347">
        <f t="shared" si="0"/>
        <v>0</v>
      </c>
      <c r="V8" s="347">
        <f t="shared" ref="V8:V14" si="1">IF(OR(ISBLANK(R8),R8=""),0,R8*LOOKUP("Summer",Ben,Per))</f>
        <v>0</v>
      </c>
      <c r="Y8" s="336" t="b">
        <f>IF('Personnel Yr 1'!$J$5&gt;1,IF(OR($N$5&lt;&gt;"Federal - NIH",OR(AND(ISBLANK(I8),ISBLANK(J8),ISBLANK(K8)),AND(I8="",J8="",K8=""))),FALSE,IF(I8&gt;0,H8&gt;NIHSalaryCap,H8&gt;(NIHSalaryCap*8.5)/12)),FALSE)</f>
        <v>0</v>
      </c>
      <c r="Z8" s="336" t="b">
        <f>IF('Personnel Yr 1'!$J$5&gt;1,IF(AND($N$5="Federal - NIH",OR(NOT(ISBLANK(I8)),NOT(ISBLANK(J8)),NOT(ISBLANK(K8)),I8&lt;&gt;"",J8&lt;&gt;"",K8&lt;&gt;"")),IF(I8&gt;0,H8&lt;=NIHSalaryCap,H8&lt;=(NIHSalaryCap*8.5)/12),TRUE),TRUE)</f>
        <v>1</v>
      </c>
      <c r="AA8" s="336" t="s">
        <v>466</v>
      </c>
    </row>
    <row r="9" spans="1:27" x14ac:dyDescent="0.2">
      <c r="A9" s="5">
        <v>3</v>
      </c>
      <c r="B9" s="6" t="str">
        <f>IF('Personnel Yr 1'!$J$5&gt;1,IF(NOT(OR(ISBLANK('Personnel Yr 1'!B9),'Personnel Yr 1'!B9="")),'Personnel Yr 1'!B9,""),"")</f>
        <v/>
      </c>
      <c r="C9" s="22" t="str">
        <f>IF('Personnel Yr 1'!$J$5&gt;1,IF(ISBLANK('Personnel Yr 1'!C9),"",'Personnel Yr 1'!C9),"")</f>
        <v/>
      </c>
      <c r="D9" s="22" t="str">
        <f>IF('Personnel Yr 1'!$J$5&gt;1,IF(ISBLANK('Personnel Yr 1'!D9),"",'Personnel Yr 1'!D9),"")</f>
        <v/>
      </c>
      <c r="E9" s="22" t="str">
        <f>IF('Personnel Yr 1'!$J$5&gt;1,IF(ISBLANK('Personnel Yr 1'!E9),"",'Personnel Yr 1'!E9),"")</f>
        <v/>
      </c>
      <c r="F9" s="22" t="str">
        <f>IF('Personnel Yr 1'!$J$5&gt;1,IF(ISBLANK('Personnel Yr 1'!F9),"",'Personnel Yr 1'!F9),"")</f>
        <v/>
      </c>
      <c r="G9" s="22" t="str">
        <f>IF('Personnel Yr 1'!$J$5&gt;1,IF(ISBLANK('Personnel Yr 1'!G9),"",'Personnel Yr 1'!G9),"")</f>
        <v/>
      </c>
      <c r="H9" s="42" t="str">
        <f>IF('Personnel Yr 1'!$J$5&gt;1,IF(NOT(ISBLANK('Personnel Yr 1'!H9)),(('Personnel Yr 1'!H9*'Personnel Yr 1'!$D$5)+'Personnel Yr 1'!H9),""),"")</f>
        <v/>
      </c>
      <c r="I9" s="22" t="str">
        <f>IF('Personnel Yr 1'!$J$5&gt;1,IF(AND(OR(ISBLANK($H9),$H9=""),ISBLANK('Personnel Yr 1'!I9)),"",'Personnel Yr 1'!I9),"")</f>
        <v/>
      </c>
      <c r="J9" s="22" t="str">
        <f>IF('Personnel Yr 1'!$J$5&gt;1,IF(AND(OR(ISBLANK($H9),$H9=""),ISBLANK('Personnel Yr 1'!J9)),"",'Personnel Yr 1'!J9),"")</f>
        <v/>
      </c>
      <c r="K9" s="22" t="str">
        <f>IF('Personnel Yr 1'!$J$5&gt;1,IF(AND(OR(ISBLANK($H9),$H9=""),ISBLANK('Personnel Yr 1'!K9)),"",'Personnel Yr 1'!K9),"")</f>
        <v/>
      </c>
      <c r="L9" s="44" t="str">
        <f>IF('Personnel Yr 1'!$J$5&gt;1,IF(NOT(OR(ISBLANK(H9),H9="")), IF(OR(AND(ISBLANK(I9),ISBLANK(J9),ISBLANK(K9)),AND(I9="",J9="",K9="")),0, IF((AND((I9&gt;0),((J9+K9)&gt;0))),"Error", IF((I9&gt;0),ROUND((IF(AND('Personnel Yr 1'!$O$5&gt;0,H9&gt;'Personnel Yr 1'!$O$5),'Personnel Yr 1'!$O$5,H9)*(I9/12)),2),ROUND((IF(AND('Personnel Yr 1'!$O$5&gt;0,H9&gt;'Personnel Yr 1'!$O$5),'Personnel Yr 1'!$O$5,H9)*((J9+K9)/8.5)),2)))),""),"")</f>
        <v/>
      </c>
      <c r="M9" s="44" t="str">
        <f>IF('Personnel Yr 1'!$J$5&gt;1,IF(OR(ISBLANK(L9),L9=""),"",ROUND(SUM(T9:V9),2)),"")</f>
        <v/>
      </c>
      <c r="N9" s="51" t="str">
        <f>IF('Personnel Yr 1'!$J$5&gt;1,IF(OR(ISBLANK(M9),M9=""),"",ROUND(SUM(L9:M9),2)),"")</f>
        <v/>
      </c>
      <c r="O9" s="157"/>
      <c r="P9" s="347" t="str">
        <f>IF('Personnel Yr 1'!$J$5&gt;1,IF(NOT(OR(ISBLANK(I9),I9="")),(H9/12)*I9,""),0)</f>
        <v/>
      </c>
      <c r="Q9" s="347" t="str">
        <f>IF('Personnel Yr 1'!$J$5&gt;1,IF(NOT(OR(ISBLANK(J9),J9="")),(H9/8.5)*J9,""),0)</f>
        <v/>
      </c>
      <c r="R9" s="347" t="str">
        <f>IF('Personnel Yr 1'!$J$5&gt;1,IF(NOT(OR(ISBLANK(K9),K9="")),(H9/8.5)*K9,""),0)</f>
        <v/>
      </c>
      <c r="S9" s="347"/>
      <c r="T9" s="347">
        <f t="shared" si="0"/>
        <v>0</v>
      </c>
      <c r="U9" s="347">
        <f t="shared" si="0"/>
        <v>0</v>
      </c>
      <c r="V9" s="347">
        <f t="shared" si="1"/>
        <v>0</v>
      </c>
      <c r="Y9" s="336" t="b">
        <f>IF('Personnel Yr 1'!$J$5&gt;1,IF(OR($N$5&lt;&gt;"Federal - NIH",OR(AND(ISBLANK(I9),ISBLANK(J9),ISBLANK(K9)),AND(I9="",J9="",K9=""))),FALSE,IF(I9&gt;0,H9&gt;NIHSalaryCap,H9&gt;(NIHSalaryCap*8.5)/12)),FALSE)</f>
        <v>0</v>
      </c>
      <c r="Z9" s="336" t="b">
        <f>IF('Personnel Yr 1'!$J$5&gt;1,IF(AND($N$5="Federal - NIH",OR(NOT(ISBLANK(I9)),NOT(ISBLANK(J9)),NOT(ISBLANK(K9)),I9&lt;&gt;"",J9&lt;&gt;"",K9&lt;&gt;"")),IF(I9&gt;0,H9&lt;=NIHSalaryCap,H9&lt;=(NIHSalaryCap*8.5)/12),TRUE),TRUE)</f>
        <v>1</v>
      </c>
      <c r="AA9" s="336" t="s">
        <v>466</v>
      </c>
    </row>
    <row r="10" spans="1:27" x14ac:dyDescent="0.2">
      <c r="A10" s="5">
        <v>4</v>
      </c>
      <c r="B10" s="6" t="str">
        <f>IF('Personnel Yr 1'!$J$5&gt;1,IF(NOT(OR(ISBLANK('Personnel Yr 1'!B10),'Personnel Yr 1'!B10="")),'Personnel Yr 1'!B10,""),"")</f>
        <v/>
      </c>
      <c r="C10" s="22" t="str">
        <f>IF('Personnel Yr 1'!$J$5&gt;1,IF(ISBLANK('Personnel Yr 1'!C10),"",'Personnel Yr 1'!C10),"")</f>
        <v/>
      </c>
      <c r="D10" s="22" t="str">
        <f>IF('Personnel Yr 1'!$J$5&gt;1,IF(ISBLANK('Personnel Yr 1'!D10),"",'Personnel Yr 1'!D10),"")</f>
        <v/>
      </c>
      <c r="E10" s="22" t="str">
        <f>IF('Personnel Yr 1'!$J$5&gt;1,IF(ISBLANK('Personnel Yr 1'!E10),"",'Personnel Yr 1'!E10),"")</f>
        <v/>
      </c>
      <c r="F10" s="22" t="str">
        <f>IF('Personnel Yr 1'!$J$5&gt;1,IF(ISBLANK('Personnel Yr 1'!F10),"",'Personnel Yr 1'!F10),"")</f>
        <v/>
      </c>
      <c r="G10" s="22" t="str">
        <f>IF('Personnel Yr 1'!$J$5&gt;1,IF(ISBLANK('Personnel Yr 1'!G10),"",'Personnel Yr 1'!G10),"")</f>
        <v/>
      </c>
      <c r="H10" s="42" t="str">
        <f>IF('Personnel Yr 1'!$J$5&gt;1,IF(NOT(ISBLANK('Personnel Yr 1'!H10)),(('Personnel Yr 1'!H10*'Personnel Yr 1'!$D$5)+'Personnel Yr 1'!H10),""),"")</f>
        <v/>
      </c>
      <c r="I10" s="22" t="str">
        <f>IF('Personnel Yr 1'!$J$5&gt;1,IF(AND(OR(ISBLANK($H10),$H10=""),ISBLANK('Personnel Yr 1'!I10)),"",'Personnel Yr 1'!I10),"")</f>
        <v/>
      </c>
      <c r="J10" s="22" t="str">
        <f>IF('Personnel Yr 1'!$J$5&gt;1,IF(AND(OR(ISBLANK($H10),$H10=""),ISBLANK('Personnel Yr 1'!J10)),"",'Personnel Yr 1'!J10),"")</f>
        <v/>
      </c>
      <c r="K10" s="22" t="str">
        <f>IF('Personnel Yr 1'!$J$5&gt;1,IF(AND(OR(ISBLANK($H10),$H10=""),ISBLANK('Personnel Yr 1'!K10)),"",'Personnel Yr 1'!K10),"")</f>
        <v/>
      </c>
      <c r="L10" s="44" t="str">
        <f>IF('Personnel Yr 1'!$J$5&gt;1,IF(NOT(OR(ISBLANK(H10),H10="")), IF(OR(AND(ISBLANK(I10),ISBLANK(J10),ISBLANK(K10)),AND(I10="",J10="",K10="")),0, IF((AND((I10&gt;0),((J10+K10)&gt;0))),"Error", IF((I10&gt;0),ROUND((IF(AND('Personnel Yr 1'!$O$5&gt;0,H10&gt;'Personnel Yr 1'!$O$5),'Personnel Yr 1'!$O$5,H10)*(I10/12)),2),ROUND((IF(AND('Personnel Yr 1'!$O$5&gt;0,H10&gt;'Personnel Yr 1'!$O$5),'Personnel Yr 1'!$O$5,H10)*((J10+K10)/8.5)),2)))),""),"")</f>
        <v/>
      </c>
      <c r="M10" s="44" t="str">
        <f>IF('Personnel Yr 1'!$J$5&gt;1,IF(OR(ISBLANK(L10),L10=""),"",ROUND(SUM(T10:V10),2)),"")</f>
        <v/>
      </c>
      <c r="N10" s="51" t="str">
        <f>IF('Personnel Yr 1'!$J$5&gt;1,IF(OR(ISBLANK(M10),M10=""),"",ROUND(SUM(L10:M10),2)),"")</f>
        <v/>
      </c>
      <c r="O10" s="160"/>
      <c r="P10" s="347" t="str">
        <f>IF('Personnel Yr 1'!$J$5&gt;1,IF(NOT(OR(ISBLANK(I10),I10="")),(H10/12)*I10,""),0)</f>
        <v/>
      </c>
      <c r="Q10" s="347" t="str">
        <f>IF('Personnel Yr 1'!$J$5&gt;1,IF(NOT(OR(ISBLANK(J10),J10="")),(H10/8.5)*J10,""),0)</f>
        <v/>
      </c>
      <c r="R10" s="347" t="str">
        <f>IF('Personnel Yr 1'!$J$5&gt;1,IF(NOT(OR(ISBLANK(K10),K10="")),(H10/8.5)*K10,""),0)</f>
        <v/>
      </c>
      <c r="S10" s="347"/>
      <c r="T10" s="347">
        <f t="shared" si="0"/>
        <v>0</v>
      </c>
      <c r="U10" s="347">
        <f t="shared" si="0"/>
        <v>0</v>
      </c>
      <c r="V10" s="347">
        <f t="shared" si="1"/>
        <v>0</v>
      </c>
      <c r="Y10" s="336" t="b">
        <f>IF('Personnel Yr 1'!$J$5&gt;1,IF(OR($N$5&lt;&gt;"Federal - NIH",OR(AND(ISBLANK(I10),ISBLANK(J10),ISBLANK(K10)),AND(I10="",J10="",K10=""))),FALSE,IF(I10&gt;0,H10&gt;NIHSalaryCap,H10&gt;(NIHSalaryCap*8.5)/12)),FALSE)</f>
        <v>0</v>
      </c>
      <c r="Z10" s="336" t="b">
        <f>IF('Personnel Yr 1'!$J$5&gt;1,IF(AND($N$5="Federal - NIH",OR(NOT(ISBLANK(I10)),NOT(ISBLANK(J10)),NOT(ISBLANK(K10)),I10&lt;&gt;"",J10&lt;&gt;"",K10&lt;&gt;"")),IF(I10&gt;0,H10&lt;=NIHSalaryCap,H10&lt;=(NIHSalaryCap*8.5)/12),TRUE),TRUE)</f>
        <v>1</v>
      </c>
      <c r="AA10" s="336" t="s">
        <v>466</v>
      </c>
    </row>
    <row r="11" spans="1:27" x14ac:dyDescent="0.2">
      <c r="A11" s="5">
        <v>5</v>
      </c>
      <c r="B11" s="6" t="str">
        <f>IF('Personnel Yr 1'!$J$5&gt;1,IF(NOT(OR(ISBLANK('Personnel Yr 1'!B11),'Personnel Yr 1'!B11="")),'Personnel Yr 1'!B11,""),"")</f>
        <v/>
      </c>
      <c r="C11" s="22" t="str">
        <f>IF('Personnel Yr 1'!$J$5&gt;1,IF(ISBLANK('Personnel Yr 1'!C11),"",'Personnel Yr 1'!C11),"")</f>
        <v/>
      </c>
      <c r="D11" s="22" t="str">
        <f>IF('Personnel Yr 1'!$J$5&gt;1,IF(ISBLANK('Personnel Yr 1'!D11),"",'Personnel Yr 1'!D11),"")</f>
        <v/>
      </c>
      <c r="E11" s="22" t="str">
        <f>IF('Personnel Yr 1'!$J$5&gt;1,IF(ISBLANK('Personnel Yr 1'!E11),"",'Personnel Yr 1'!E11),"")</f>
        <v/>
      </c>
      <c r="F11" s="22" t="str">
        <f>IF('Personnel Yr 1'!$J$5&gt;1,IF(ISBLANK('Personnel Yr 1'!F11),"",'Personnel Yr 1'!F11),"")</f>
        <v/>
      </c>
      <c r="G11" s="22" t="str">
        <f>IF('Personnel Yr 1'!$J$5&gt;1,IF(ISBLANK('Personnel Yr 1'!G11),"",'Personnel Yr 1'!G11),"")</f>
        <v/>
      </c>
      <c r="H11" s="42" t="str">
        <f>IF('Personnel Yr 1'!$J$5&gt;1,IF(NOT(ISBLANK('Personnel Yr 1'!H11)),(('Personnel Yr 1'!H11*'Personnel Yr 1'!$D$5)+'Personnel Yr 1'!H11),""),"")</f>
        <v/>
      </c>
      <c r="I11" s="22" t="str">
        <f>IF('Personnel Yr 1'!$J$5&gt;1,IF(AND(OR(ISBLANK($H11),$H11=""),ISBLANK('Personnel Yr 1'!I11)),"",'Personnel Yr 1'!I11),"")</f>
        <v/>
      </c>
      <c r="J11" s="22" t="str">
        <f>IF('Personnel Yr 1'!$J$5&gt;1,IF(AND(OR(ISBLANK($H11),$H11=""),ISBLANK('Personnel Yr 1'!J11)),"",'Personnel Yr 1'!J11),"")</f>
        <v/>
      </c>
      <c r="K11" s="22" t="str">
        <f>IF('Personnel Yr 1'!$J$5&gt;1,IF(AND(OR(ISBLANK($H11),$H11=""),ISBLANK('Personnel Yr 1'!K11)),"",'Personnel Yr 1'!K11),"")</f>
        <v/>
      </c>
      <c r="L11" s="44" t="str">
        <f>IF('Personnel Yr 1'!$J$5&gt;1,IF(NOT(OR(ISBLANK(H11),H11="")), IF(OR(AND(ISBLANK(I11),ISBLANK(J11),ISBLANK(K11)),AND(I11="",J11="",K11="")),0, IF((AND((I11&gt;0),((J11+K11)&gt;0))),"Error", IF((I11&gt;0),ROUND((IF(AND('Personnel Yr 1'!$O$5&gt;0,H11&gt;'Personnel Yr 1'!$O$5),'Personnel Yr 1'!$O$5,H11)*(I11/12)),2),ROUND((IF(AND('Personnel Yr 1'!$O$5&gt;0,H11&gt;'Personnel Yr 1'!$O$5),'Personnel Yr 1'!$O$5,H11)*((J11+K11)/8.5)),2)))),""),"")</f>
        <v/>
      </c>
      <c r="M11" s="44" t="str">
        <f>IF('Personnel Yr 1'!$J$5&gt;1,IF(OR(ISBLANK(L11),L11=""),"",ROUND(SUM(T11:V11),2)),"")</f>
        <v/>
      </c>
      <c r="N11" s="51" t="str">
        <f>IF('Personnel Yr 1'!$J$5&gt;1,IF(OR(ISBLANK(M11),M11=""),"",ROUND(SUM(L11:M11),2)),"")</f>
        <v/>
      </c>
      <c r="O11" s="159"/>
      <c r="P11" s="347" t="str">
        <f>IF('Personnel Yr 1'!$J$5&gt;1,IF(NOT(OR(ISBLANK(I11),I11="")),(H11/12)*I11,""),0)</f>
        <v/>
      </c>
      <c r="Q11" s="347" t="str">
        <f>IF('Personnel Yr 1'!$J$5&gt;1,IF(NOT(OR(ISBLANK(J11),J11="")),(H11/8.5)*J11,""),0)</f>
        <v/>
      </c>
      <c r="R11" s="347" t="str">
        <f>IF('Personnel Yr 1'!$J$5&gt;1,IF(NOT(OR(ISBLANK(K11),K11="")),(H11/8.5)*K11,""),0)</f>
        <v/>
      </c>
      <c r="S11" s="347"/>
      <c r="T11" s="347">
        <f t="shared" si="0"/>
        <v>0</v>
      </c>
      <c r="U11" s="347">
        <f t="shared" si="0"/>
        <v>0</v>
      </c>
      <c r="V11" s="347">
        <f t="shared" si="1"/>
        <v>0</v>
      </c>
      <c r="Y11" s="336" t="b">
        <f>IF('Personnel Yr 1'!$J$5&gt;1,IF(OR($N$5&lt;&gt;"Federal - NIH",OR(AND(ISBLANK(I11),ISBLANK(J11),ISBLANK(K11)),AND(I11="",J11="",K11=""))),FALSE,IF(I11&gt;0,H11&gt;NIHSalaryCap,H11&gt;(NIHSalaryCap*8.5)/12)),FALSE)</f>
        <v>0</v>
      </c>
      <c r="Z11" s="336" t="b">
        <f>IF('Personnel Yr 1'!$J$5&gt;1,IF(AND($N$5="Federal - NIH",OR(NOT(ISBLANK(I11)),NOT(ISBLANK(J11)),NOT(ISBLANK(K11)),I11&lt;&gt;"",J11&lt;&gt;"",K11&lt;&gt;"")),IF(I11&gt;0,H11&lt;=NIHSalaryCap,H11&lt;=(NIHSalaryCap*8.5)/12),TRUE),TRUE)</f>
        <v>1</v>
      </c>
      <c r="AA11" s="336" t="s">
        <v>466</v>
      </c>
    </row>
    <row r="12" spans="1:27" x14ac:dyDescent="0.2">
      <c r="A12" s="5">
        <v>6</v>
      </c>
      <c r="B12" s="6" t="str">
        <f>IF('Personnel Yr 1'!$J$5&gt;1,IF(NOT(OR(ISBLANK('Personnel Yr 1'!B12),'Personnel Yr 1'!B12="")),'Personnel Yr 1'!B12,""),"")</f>
        <v/>
      </c>
      <c r="C12" s="22" t="str">
        <f>IF('Personnel Yr 1'!$J$5&gt;1,IF(ISBLANK('Personnel Yr 1'!C12),"",'Personnel Yr 1'!C12),"")</f>
        <v/>
      </c>
      <c r="D12" s="22" t="str">
        <f>IF('Personnel Yr 1'!$J$5&gt;1,IF(ISBLANK('Personnel Yr 1'!D12),"",'Personnel Yr 1'!D12),"")</f>
        <v/>
      </c>
      <c r="E12" s="22" t="str">
        <f>IF('Personnel Yr 1'!$J$5&gt;1,IF(ISBLANK('Personnel Yr 1'!E12),"",'Personnel Yr 1'!E12),"")</f>
        <v/>
      </c>
      <c r="F12" s="22" t="str">
        <f>IF('Personnel Yr 1'!$J$5&gt;1,IF(ISBLANK('Personnel Yr 1'!F12),"",'Personnel Yr 1'!F12),"")</f>
        <v/>
      </c>
      <c r="G12" s="22" t="str">
        <f>IF('Personnel Yr 1'!$J$5&gt;1,IF(ISBLANK('Personnel Yr 1'!G12),"",'Personnel Yr 1'!G12),"")</f>
        <v/>
      </c>
      <c r="H12" s="42" t="str">
        <f>IF('Personnel Yr 1'!$J$5&gt;1,IF(NOT(ISBLANK('Personnel Yr 1'!H12)),(('Personnel Yr 1'!H12*'Personnel Yr 1'!$D$5)+'Personnel Yr 1'!H12),""),"")</f>
        <v/>
      </c>
      <c r="I12" s="22" t="str">
        <f>IF('Personnel Yr 1'!$J$5&gt;1,IF(AND(OR(ISBLANK($H12),$H12=""),ISBLANK('Personnel Yr 1'!I12)),"",'Personnel Yr 1'!I12),"")</f>
        <v/>
      </c>
      <c r="J12" s="22" t="str">
        <f>IF('Personnel Yr 1'!$J$5&gt;1,IF(AND(OR(ISBLANK($H12),$H12=""),ISBLANK('Personnel Yr 1'!J12)),"",'Personnel Yr 1'!J12),"")</f>
        <v/>
      </c>
      <c r="K12" s="22" t="str">
        <f>IF('Personnel Yr 1'!$J$5&gt;1,IF(AND(OR(ISBLANK($H12),$H12=""),ISBLANK('Personnel Yr 1'!K12)),"",'Personnel Yr 1'!K12),"")</f>
        <v/>
      </c>
      <c r="L12" s="44" t="str">
        <f>IF('Personnel Yr 1'!$J$5&gt;1,IF(NOT(OR(ISBLANK(H12),H12="")), IF(OR(AND(ISBLANK(I12),ISBLANK(J12),ISBLANK(K12)),AND(I12="",J12="",K12="")),0, IF((AND((I12&gt;0),((J12+K12)&gt;0))),"Error", IF((I12&gt;0),ROUND((IF(AND('Personnel Yr 1'!$O$5&gt;0,H12&gt;'Personnel Yr 1'!$O$5),'Personnel Yr 1'!$O$5,H12)*(I12/12)),2),ROUND((IF(AND('Personnel Yr 1'!$O$5&gt;0,H12&gt;'Personnel Yr 1'!$O$5),'Personnel Yr 1'!$O$5,H12)*((J12+K12)/8.5)),2)))),""),"")</f>
        <v/>
      </c>
      <c r="M12" s="44" t="str">
        <f>IF('Personnel Yr 1'!$J$5&gt;1,IF(OR(ISBLANK(L12),L12=""),"",ROUND(SUM(T12:V12),2)),"")</f>
        <v/>
      </c>
      <c r="N12" s="51" t="str">
        <f>IF('Personnel Yr 1'!$J$5&gt;1,IF(OR(ISBLANK(M12),M12=""),"",ROUND(SUM(L12:M12),2)),"")</f>
        <v/>
      </c>
      <c r="O12" s="159"/>
      <c r="P12" s="347" t="str">
        <f>IF('Personnel Yr 1'!$J$5&gt;1,IF(NOT(OR(ISBLANK(I12),I12="")),(H12/12)*I12,""),0)</f>
        <v/>
      </c>
      <c r="Q12" s="347" t="str">
        <f>IF('Personnel Yr 1'!$J$5&gt;1,IF(NOT(OR(ISBLANK(J12),J12="")),(H12/8.5)*J12,""),0)</f>
        <v/>
      </c>
      <c r="R12" s="347" t="str">
        <f>IF('Personnel Yr 1'!$J$5&gt;1,IF(NOT(OR(ISBLANK(K12),K12="")),(H12/8.5)*K12,""),0)</f>
        <v/>
      </c>
      <c r="S12" s="347"/>
      <c r="T12" s="347">
        <f t="shared" si="0"/>
        <v>0</v>
      </c>
      <c r="U12" s="347">
        <f t="shared" si="0"/>
        <v>0</v>
      </c>
      <c r="V12" s="347">
        <f t="shared" si="1"/>
        <v>0</v>
      </c>
      <c r="Y12" s="336" t="b">
        <f>IF('Personnel Yr 1'!$J$5&gt;1,IF(OR($N$5&lt;&gt;"Federal - NIH",OR(AND(ISBLANK(I12),ISBLANK(J12),ISBLANK(K12)),AND(I12="",J12="",K12=""))),FALSE,IF(I12&gt;0,H12&gt;NIHSalaryCap,H12&gt;(NIHSalaryCap*8.5)/12)),FALSE)</f>
        <v>0</v>
      </c>
      <c r="Z12" s="336" t="b">
        <f>IF('Personnel Yr 1'!$J$5&gt;1,IF(AND($N$5="Federal - NIH",OR(NOT(ISBLANK(I12)),NOT(ISBLANK(J12)),NOT(ISBLANK(K12)),I12&lt;&gt;"",J12&lt;&gt;"",K12&lt;&gt;"")),IF(I12&gt;0,H12&lt;=NIHSalaryCap,H12&lt;=(NIHSalaryCap*8.5)/12),TRUE),TRUE)</f>
        <v>1</v>
      </c>
      <c r="AA12" s="336" t="s">
        <v>466</v>
      </c>
    </row>
    <row r="13" spans="1:27" x14ac:dyDescent="0.2">
      <c r="A13" s="5">
        <v>7</v>
      </c>
      <c r="B13" s="6" t="str">
        <f>IF('Personnel Yr 1'!$J$5&gt;1,IF(NOT(OR(ISBLANK('Personnel Yr 1'!B13),'Personnel Yr 1'!B13="")),'Personnel Yr 1'!B13,""),"")</f>
        <v/>
      </c>
      <c r="C13" s="22" t="str">
        <f>IF('Personnel Yr 1'!$J$5&gt;1,IF(ISBLANK('Personnel Yr 1'!C13),"",'Personnel Yr 1'!C13),"")</f>
        <v/>
      </c>
      <c r="D13" s="22" t="str">
        <f>IF('Personnel Yr 1'!$J$5&gt;1,IF(ISBLANK('Personnel Yr 1'!D13),"",'Personnel Yr 1'!D13),"")</f>
        <v/>
      </c>
      <c r="E13" s="22" t="str">
        <f>IF('Personnel Yr 1'!$J$5&gt;1,IF(ISBLANK('Personnel Yr 1'!E13),"",'Personnel Yr 1'!E13),"")</f>
        <v/>
      </c>
      <c r="F13" s="22" t="str">
        <f>IF('Personnel Yr 1'!$J$5&gt;1,IF(ISBLANK('Personnel Yr 1'!F13),"",'Personnel Yr 1'!F13),"")</f>
        <v/>
      </c>
      <c r="G13" s="22" t="str">
        <f>IF('Personnel Yr 1'!$J$5&gt;1,IF(ISBLANK('Personnel Yr 1'!G13),"",'Personnel Yr 1'!G13),"")</f>
        <v/>
      </c>
      <c r="H13" s="42" t="str">
        <f>IF('Personnel Yr 1'!$J$5&gt;1,IF(NOT(ISBLANK('Personnel Yr 1'!H13)),(('Personnel Yr 1'!H13*'Personnel Yr 1'!$D$5)+'Personnel Yr 1'!H13),""),"")</f>
        <v/>
      </c>
      <c r="I13" s="22" t="str">
        <f>IF('Personnel Yr 1'!$J$5&gt;1,IF(AND(OR(ISBLANK($H13),$H13=""),ISBLANK('Personnel Yr 1'!I13)),"",'Personnel Yr 1'!I13),"")</f>
        <v/>
      </c>
      <c r="J13" s="22" t="str">
        <f>IF('Personnel Yr 1'!$J$5&gt;1,IF(AND(OR(ISBLANK($H13),$H13=""),ISBLANK('Personnel Yr 1'!J13)),"",'Personnel Yr 1'!J13),"")</f>
        <v/>
      </c>
      <c r="K13" s="22" t="str">
        <f>IF('Personnel Yr 1'!$J$5&gt;1,IF(AND(OR(ISBLANK($H13),$H13=""),ISBLANK('Personnel Yr 1'!K13)),"",'Personnel Yr 1'!K13),"")</f>
        <v/>
      </c>
      <c r="L13" s="44" t="str">
        <f>IF('Personnel Yr 1'!$J$5&gt;1,IF(NOT(OR(ISBLANK(H13),H13="")), IF(OR(AND(ISBLANK(I13),ISBLANK(J13),ISBLANK(K13)),AND(I13="",J13="",K13="")),0, IF((AND((I13&gt;0),((J13+K13)&gt;0))),"Error", IF((I13&gt;0),ROUND((IF(AND('Personnel Yr 1'!$O$5&gt;0,H13&gt;'Personnel Yr 1'!$O$5),'Personnel Yr 1'!$O$5,H13)*(I13/12)),2),ROUND((IF(AND('Personnel Yr 1'!$O$5&gt;0,H13&gt;'Personnel Yr 1'!$O$5),'Personnel Yr 1'!$O$5,H13)*((J13+K13)/8.5)),2)))),""),"")</f>
        <v/>
      </c>
      <c r="M13" s="44" t="str">
        <f>IF('Personnel Yr 1'!$J$5&gt;1,IF(OR(ISBLANK(L13),L13=""),"",ROUND(SUM(T13:V13),2)),"")</f>
        <v/>
      </c>
      <c r="N13" s="51" t="str">
        <f>IF('Personnel Yr 1'!$J$5&gt;1,IF(OR(ISBLANK(M13),M13=""),"",ROUND(SUM(L13:M13),2)),"")</f>
        <v/>
      </c>
      <c r="O13" s="157"/>
      <c r="P13" s="347" t="str">
        <f>IF('Personnel Yr 1'!$J$5&gt;1,IF(NOT(OR(ISBLANK(I13),I13="")),(H13/12)*I13,""),0)</f>
        <v/>
      </c>
      <c r="Q13" s="347" t="str">
        <f>IF('Personnel Yr 1'!$J$5&gt;1,IF(NOT(OR(ISBLANK(J13),J13="")),(H13/8.5)*J13,""),0)</f>
        <v/>
      </c>
      <c r="R13" s="347" t="str">
        <f>IF('Personnel Yr 1'!$J$5&gt;1,IF(NOT(OR(ISBLANK(K13),K13="")),(H13/8.5)*K13,""),0)</f>
        <v/>
      </c>
      <c r="S13" s="347"/>
      <c r="T13" s="347">
        <f t="shared" si="0"/>
        <v>0</v>
      </c>
      <c r="U13" s="347">
        <f t="shared" si="0"/>
        <v>0</v>
      </c>
      <c r="V13" s="347">
        <f t="shared" si="1"/>
        <v>0</v>
      </c>
      <c r="Y13" s="336" t="b">
        <f>IF('Personnel Yr 1'!$J$5&gt;1,IF(OR($N$5&lt;&gt;"Federal - NIH",OR(AND(ISBLANK(I13),ISBLANK(J13),ISBLANK(K13)),AND(I13="",J13="",K13=""))),FALSE,IF(I13&gt;0,H13&gt;NIHSalaryCap,H13&gt;(NIHSalaryCap*8.5)/12)),FALSE)</f>
        <v>0</v>
      </c>
      <c r="Z13" s="336" t="b">
        <f>IF('Personnel Yr 1'!$J$5&gt;1,IF(AND($N$5="Federal - NIH",OR(NOT(ISBLANK(I13)),NOT(ISBLANK(J13)),NOT(ISBLANK(K13)),I13&lt;&gt;"",J13&lt;&gt;"",K13&lt;&gt;"")),IF(I13&gt;0,H13&lt;=NIHSalaryCap,H13&lt;=(NIHSalaryCap*8.5)/12),TRUE),TRUE)</f>
        <v>1</v>
      </c>
      <c r="AA13" s="336" t="s">
        <v>466</v>
      </c>
    </row>
    <row r="14" spans="1:27" ht="13.5" thickBot="1" x14ac:dyDescent="0.25">
      <c r="A14" s="5">
        <v>8</v>
      </c>
      <c r="B14" s="7" t="str">
        <f>IF('Personnel Yr 1'!$J$5&gt;1,IF(NOT(OR(ISBLANK('Personnel Yr 1'!B14),'Personnel Yr 1'!B14="")),'Personnel Yr 1'!B14,""),"")</f>
        <v/>
      </c>
      <c r="C14" s="29" t="str">
        <f>IF('Personnel Yr 1'!$J$5&gt;1,IF(ISBLANK('Personnel Yr 1'!C14),"",'Personnel Yr 1'!C14),"")</f>
        <v/>
      </c>
      <c r="D14" s="29" t="str">
        <f>IF('Personnel Yr 1'!$J$5&gt;1,IF(ISBLANK('Personnel Yr 1'!D14),"",'Personnel Yr 1'!D14),"")</f>
        <v/>
      </c>
      <c r="E14" s="29" t="str">
        <f>IF('Personnel Yr 1'!$J$5&gt;1,IF(ISBLANK('Personnel Yr 1'!E14),"",'Personnel Yr 1'!E14),"")</f>
        <v/>
      </c>
      <c r="F14" s="29" t="str">
        <f>IF('Personnel Yr 1'!$J$5&gt;1,IF(ISBLANK('Personnel Yr 1'!F14),"",'Personnel Yr 1'!F14),"")</f>
        <v/>
      </c>
      <c r="G14" s="29" t="str">
        <f>IF('Personnel Yr 1'!$J$5&gt;1,IF(ISBLANK('Personnel Yr 1'!G14),"",'Personnel Yr 1'!G14),"")</f>
        <v/>
      </c>
      <c r="H14" s="43" t="str">
        <f>IF('Personnel Yr 1'!$J$5&gt;1,IF(NOT(ISBLANK('Personnel Yr 1'!H14)),(('Personnel Yr 1'!H14*'Personnel Yr 1'!$D$5)+'Personnel Yr 1'!H14),""),"")</f>
        <v/>
      </c>
      <c r="I14" s="29" t="str">
        <f>IF('Personnel Yr 1'!$J$5&gt;1,IF(AND(OR(ISBLANK($H14),$H14=""),ISBLANK('Personnel Yr 1'!I14)),"",'Personnel Yr 1'!I14),"")</f>
        <v/>
      </c>
      <c r="J14" s="29" t="str">
        <f>IF('Personnel Yr 1'!$J$5&gt;1,IF(AND(OR(ISBLANK($H14),$H14=""),ISBLANK('Personnel Yr 1'!J14)),"",'Personnel Yr 1'!J14),"")</f>
        <v/>
      </c>
      <c r="K14" s="29" t="str">
        <f>IF('Personnel Yr 1'!$J$5&gt;1,IF(AND(OR(ISBLANK($H14),$H14=""),ISBLANK('Personnel Yr 1'!K14)),"",'Personnel Yr 1'!K14),"")</f>
        <v/>
      </c>
      <c r="L14" s="49" t="str">
        <f>IF('Personnel Yr 1'!$J$5&gt;1,IF(NOT(OR(ISBLANK(H14),H14="")), IF(OR(AND(ISBLANK(I14),ISBLANK(J14),ISBLANK(K14)),AND(I14="",J14="",K14="")),0, IF((AND((I14&gt;0),((J14+K14)&gt;0))),"Error", IF((I14&gt;0),ROUND((IF(AND('Personnel Yr 1'!$O$5&gt;0,H14&gt;'Personnel Yr 1'!$O$5),'Personnel Yr 1'!$O$5,H14)*(I14/12)),2),ROUND((IF(AND('Personnel Yr 1'!$O$5&gt;0,H14&gt;'Personnel Yr 1'!$O$5),'Personnel Yr 1'!$O$5,H14)*((J14+K14)/8.5)),2)))),""),"")</f>
        <v/>
      </c>
      <c r="M14" s="49" t="str">
        <f>IF('Personnel Yr 1'!$J$5&gt;1,IF(OR(ISBLANK(L14),L14=""),"",ROUND(SUM(T14:V14),2)),"")</f>
        <v/>
      </c>
      <c r="N14" s="184" t="str">
        <f>IF('Personnel Yr 1'!$J$5&gt;1,IF(OR(ISBLANK(M14),M14=""),"",ROUND(SUM(L14:M14),2)),"")</f>
        <v/>
      </c>
      <c r="O14" s="161"/>
      <c r="P14" s="347" t="str">
        <f>IF('Personnel Yr 1'!$J$5&gt;1,IF(NOT(OR(ISBLANK(I14),I14="")),(H14/12)*I14,""),0)</f>
        <v/>
      </c>
      <c r="Q14" s="347" t="str">
        <f>IF('Personnel Yr 1'!$J$5&gt;1,IF(NOT(OR(ISBLANK(J14),J14="")),(H14/8.5)*J14,""),0)</f>
        <v/>
      </c>
      <c r="R14" s="347" t="str">
        <f>IF('Personnel Yr 1'!$J$5&gt;1,IF(NOT(OR(ISBLANK(K14),K14="")),(H14/8.5)*K14,""),0)</f>
        <v/>
      </c>
      <c r="S14" s="347"/>
      <c r="T14" s="347">
        <f t="shared" si="0"/>
        <v>0</v>
      </c>
      <c r="U14" s="347">
        <f t="shared" si="0"/>
        <v>0</v>
      </c>
      <c r="V14" s="347">
        <f t="shared" si="1"/>
        <v>0</v>
      </c>
      <c r="Y14" s="336" t="b">
        <f>IF('Personnel Yr 1'!$J$5&gt;1,IF(OR($N$5&lt;&gt;"Federal - NIH",OR(AND(ISBLANK(I14),ISBLANK(J14),ISBLANK(K14)),AND(I14="",J14="",K14=""))),FALSE,IF(I14&gt;0,H14&gt;NIHSalaryCap,H14&gt;(NIHSalaryCap*8.5)/12)),FALSE)</f>
        <v>0</v>
      </c>
      <c r="Z14" s="336" t="b">
        <f>IF('Personnel Yr 1'!$J$5&gt;1,IF(AND($N$5="Federal - NIH",OR(NOT(ISBLANK(I14)),NOT(ISBLANK(J14)),NOT(ISBLANK(K14)),I14&lt;&gt;"",J14&lt;&gt;"",K14&lt;&gt;"")),IF(I14&gt;0,H14&lt;=NIHSalaryCap,H14&lt;=(NIHSalaryCap*8.5)/12),TRUE),TRUE)</f>
        <v>1</v>
      </c>
      <c r="AA14" s="336" t="s">
        <v>466</v>
      </c>
    </row>
    <row r="15" spans="1:27" ht="13.5" thickBot="1" x14ac:dyDescent="0.25">
      <c r="A15" s="5">
        <v>9</v>
      </c>
      <c r="B15" s="27">
        <f>B59</f>
        <v>0</v>
      </c>
      <c r="C15" s="563" t="s">
        <v>52</v>
      </c>
      <c r="D15" s="563"/>
      <c r="E15" s="563"/>
      <c r="F15" s="563"/>
      <c r="G15" s="573" t="s">
        <v>63</v>
      </c>
      <c r="H15" s="573"/>
      <c r="I15" s="573"/>
      <c r="J15" s="573"/>
      <c r="K15" s="573"/>
      <c r="L15" s="573"/>
      <c r="M15" s="574"/>
      <c r="N15" s="56">
        <f>N59</f>
        <v>0</v>
      </c>
      <c r="P15" s="336">
        <f>SUM(P7:P14)</f>
        <v>0</v>
      </c>
      <c r="Q15" s="336">
        <f>SUM(Q7:Q14)</f>
        <v>0</v>
      </c>
      <c r="R15" s="336">
        <f>SUM(R7:R14)</f>
        <v>0</v>
      </c>
      <c r="T15" s="347">
        <f>SUM(T7:T14)</f>
        <v>0</v>
      </c>
      <c r="U15" s="347">
        <f>SUM(U7:U14)</f>
        <v>0</v>
      </c>
      <c r="V15" s="347">
        <f>SUM(V7:V14)</f>
        <v>0</v>
      </c>
    </row>
    <row r="16" spans="1:27" ht="13.5" thickBot="1" x14ac:dyDescent="0.25">
      <c r="B16" s="27">
        <f>SUM(ROWS(E7:E14)-COUNTIF(E7:E14,""),B15)</f>
        <v>0</v>
      </c>
      <c r="C16" s="569" t="s">
        <v>51</v>
      </c>
      <c r="D16" s="570"/>
      <c r="E16" s="570"/>
      <c r="F16" s="570"/>
      <c r="G16" s="9"/>
      <c r="H16" s="10"/>
      <c r="I16" s="10"/>
      <c r="J16" s="571" t="s">
        <v>34</v>
      </c>
      <c r="K16" s="571"/>
      <c r="L16" s="571"/>
      <c r="M16" s="572"/>
      <c r="N16" s="48">
        <f>SUM(N7:N15)</f>
        <v>0</v>
      </c>
    </row>
    <row r="17" spans="2:27" x14ac:dyDescent="0.2">
      <c r="B17" s="9"/>
      <c r="C17" s="9"/>
      <c r="D17" s="9"/>
      <c r="E17" s="9"/>
      <c r="F17" s="9"/>
      <c r="G17" s="9"/>
      <c r="H17" s="10"/>
      <c r="I17" s="10"/>
      <c r="J17" s="11"/>
      <c r="K17" s="11"/>
      <c r="L17" s="11"/>
      <c r="M17" s="11"/>
      <c r="N17" s="10"/>
    </row>
    <row r="18" spans="2:27" x14ac:dyDescent="0.2">
      <c r="B18" s="9"/>
      <c r="C18" s="9"/>
      <c r="D18" s="9"/>
      <c r="E18" s="9"/>
      <c r="F18" s="9"/>
      <c r="G18" s="9"/>
      <c r="H18" s="9"/>
      <c r="I18" s="9"/>
      <c r="J18" s="11"/>
      <c r="K18" s="11"/>
      <c r="L18" s="11"/>
      <c r="M18" s="11"/>
      <c r="N18" s="9"/>
    </row>
    <row r="19" spans="2:27" x14ac:dyDescent="0.2">
      <c r="B19" s="575" t="s">
        <v>6</v>
      </c>
      <c r="C19" s="575"/>
      <c r="D19" s="576" t="s">
        <v>96</v>
      </c>
      <c r="E19" s="576"/>
      <c r="F19" s="576"/>
      <c r="G19" s="576"/>
      <c r="H19" s="576"/>
      <c r="I19" s="576"/>
      <c r="J19" s="576"/>
      <c r="K19" s="576"/>
    </row>
    <row r="20" spans="2:27" ht="26.25" thickBot="1" x14ac:dyDescent="0.25">
      <c r="B20" s="13" t="s">
        <v>7</v>
      </c>
      <c r="C20" s="14"/>
      <c r="D20" s="14"/>
      <c r="E20" s="14"/>
      <c r="F20" s="14"/>
      <c r="G20" s="14"/>
      <c r="H20" s="15" t="s">
        <v>65</v>
      </c>
      <c r="I20" s="15" t="s">
        <v>60</v>
      </c>
      <c r="J20" s="15" t="s">
        <v>61</v>
      </c>
      <c r="K20" s="15" t="s">
        <v>62</v>
      </c>
      <c r="L20" s="15" t="s">
        <v>44</v>
      </c>
      <c r="M20" s="40" t="s">
        <v>45</v>
      </c>
      <c r="N20" s="40" t="s">
        <v>41</v>
      </c>
      <c r="O20" s="3" t="s">
        <v>234</v>
      </c>
    </row>
    <row r="21" spans="2:27" x14ac:dyDescent="0.2">
      <c r="B21" s="16" t="str">
        <f>IF('Personnel Yr 1'!$J$5&gt;1,IF(OR(ISBLANK('Personnel Yr 1'!B21),'Personnel Yr 1'!B21=""),"",'Personnel Yr 1'!B21),"")</f>
        <v/>
      </c>
      <c r="C21" s="578" t="s">
        <v>8</v>
      </c>
      <c r="D21" s="578"/>
      <c r="E21" s="578"/>
      <c r="F21" s="578"/>
      <c r="G21" s="578"/>
      <c r="H21" s="579"/>
      <c r="I21" s="17" t="str">
        <f>IF('Personnel Yr 1'!$J$5&gt;1,IF(OR(ISBLANK('Personnel Yr 1'!I21),'Personnel Yr 1'!I21=""),"",'Personnel Yr 1'!I21),"")</f>
        <v/>
      </c>
      <c r="J21" s="17" t="str">
        <f>IF('Personnel Yr 1'!$J$5&gt;1,IF(OR(ISBLANK('Personnel Yr 1'!J21),'Personnel Yr 1'!J21=""),"",'Personnel Yr 1'!J21),"")</f>
        <v/>
      </c>
      <c r="K21" s="17" t="str">
        <f>IF('Personnel Yr 1'!$J$5&gt;1,IF(OR(ISBLANK('Personnel Yr 1'!K21),'Personnel Yr 1'!K21=""),"",'Personnel Yr 1'!K21),"")</f>
        <v/>
      </c>
      <c r="L21" s="41" t="str">
        <f>IF('Personnel Yr 1'!$J$5&gt;1,IF(NOT(ISBLANK('Personnel Yr 1'!L21)),(('Personnel Yr 1'!L21*'Personnel Yr 1'!$D$5)+'Personnel Yr 1'!L21),""),"")</f>
        <v/>
      </c>
      <c r="M21" s="45" t="str">
        <f>IF('Personnel Yr 1'!$J$5&gt;1,IF(OR(ISBLANK(L21),L21=""),"",ROUND(L21*LOOKUP("Full",Ben,Per),2)),"")</f>
        <v/>
      </c>
      <c r="N21" s="46" t="str">
        <f>IF('Personnel Yr 1'!$J$5&gt;1,IF(OR(ISBLANK(L21),L21=""),"",ROUND(SUM(L21:M21),2)),"")</f>
        <v/>
      </c>
      <c r="O21" s="267"/>
    </row>
    <row r="22" spans="2:27" x14ac:dyDescent="0.2">
      <c r="B22" s="342" t="s">
        <v>462</v>
      </c>
      <c r="C22" s="580" t="s">
        <v>73</v>
      </c>
      <c r="D22" s="581"/>
      <c r="E22" s="581"/>
      <c r="F22" s="581"/>
      <c r="G22" s="581"/>
      <c r="H22" s="583"/>
      <c r="I22" s="19" t="str">
        <f>IF('Personnel Yr 1'!$J$5&gt;1,IF(OR(ISBLANK('Personnel Yr 1'!I22),'Personnel Yr 1'!I22=""),"",'Personnel Yr 1'!I22),"")</f>
        <v/>
      </c>
      <c r="J22" s="19" t="str">
        <f>IF('Personnel Yr 1'!$J$5&gt;1,IF(OR(ISBLANK('Personnel Yr 1'!J22),'Personnel Yr 1'!J22=""),"",'Personnel Yr 1'!J22),"")</f>
        <v/>
      </c>
      <c r="K22" s="19" t="str">
        <f>IF('Personnel Yr 1'!$J$5&gt;1,IF(OR(ISBLANK('Personnel Yr 1'!K22),'Personnel Yr 1'!K22=""),"",'Personnel Yr 1'!K22),"")</f>
        <v/>
      </c>
      <c r="L22" s="53" t="str">
        <f>IF('Personnel Yr 1'!$J$5&gt;1,IF(NOT(ISBLANK('Personnel Yr 1'!L22)),(('Personnel Yr 1'!L22*'Personnel Yr 1'!$D$5)+'Personnel Yr 1'!L22),""),"")</f>
        <v/>
      </c>
      <c r="M22" s="49" t="str">
        <f>IF('Personnel Yr 1'!$J$5&gt;1,IF(OR(ISBLANK(L22),L22=""),"",ROUND(L22*LOOKUP("Full",Ben,Per),2)),"")</f>
        <v/>
      </c>
      <c r="N22" s="50" t="str">
        <f>IF('Personnel Yr 1'!$J$5&gt;1,IF(OR(ISBLANK(L22),L22=""),"",ROUND(SUM(L22:M22),2)),"")</f>
        <v/>
      </c>
      <c r="O22" s="268"/>
    </row>
    <row r="23" spans="2:27" x14ac:dyDescent="0.2">
      <c r="B23" s="341" t="s">
        <v>463</v>
      </c>
      <c r="C23" s="580" t="s">
        <v>9</v>
      </c>
      <c r="D23" s="581"/>
      <c r="E23" s="581"/>
      <c r="F23" s="581"/>
      <c r="G23" s="429"/>
      <c r="H23" s="472" t="str">
        <f>IF('Personnel Yr 1'!$J$5&gt;1,IF(OR(ISBLANK('Personnel Yr 1'!H23),'Personnel Yr 1'!H23=""),"",'Personnel Yr 1'!H23),"")</f>
        <v>Fnd/Prof Soc</v>
      </c>
      <c r="I23" s="21" t="str">
        <f>IF('Personnel Yr 1'!$J$5&gt;1,IF(OR(ISBLANK('Personnel Yr 1'!I23),'Personnel Yr 1'!I23=""),"",'Personnel Yr 1'!I23),"")</f>
        <v/>
      </c>
      <c r="J23" s="21" t="str">
        <f>IF('Personnel Yr 1'!$J$5&gt;1,IF(OR(ISBLANK('Personnel Yr 1'!J23),'Personnel Yr 1'!J23=""),"",'Personnel Yr 1'!J23),"")</f>
        <v/>
      </c>
      <c r="K23" s="21" t="str">
        <f>IF('Personnel Yr 1'!$J$5&gt;1,IF(OR(ISBLANK('Personnel Yr 1'!K23),'Personnel Yr 1'!K23=""),"",'Personnel Yr 1'!K23),"")</f>
        <v/>
      </c>
      <c r="L23" s="42" t="str">
        <f>IF('Personnel Yr 1'!$J$5&gt;1,IF(NOT(ISBLANK('Personnel Yr 1'!L23)),(('Personnel Yr 1'!L23*'Personnel Yr 1'!$D$5)+'Personnel Yr 1'!L23),""),"")</f>
        <v/>
      </c>
      <c r="M23" s="47" t="str">
        <f>IF('Personnel Yr 1'!$J$5&gt;1,IF(OR(ISBLANK(L23),L23=""),"",ROUND(L23*LOOKUP(H23,Grad,GradR),2)),"")</f>
        <v/>
      </c>
      <c r="N23" s="50" t="str">
        <f>IF('Personnel Yr 1'!$J$5&gt;1,IF(OR(ISBLANK(L23),L23=""),"",ROUND(SUM(L23:M23),2)),"")</f>
        <v/>
      </c>
      <c r="O23" s="268"/>
    </row>
    <row r="24" spans="2:27" x14ac:dyDescent="0.2">
      <c r="B24" s="20" t="str">
        <f>IF('Personnel Yr 1'!$J$5&gt;1,IF(OR(ISBLANK('Personnel Yr 1'!B24),'Personnel Yr 1'!B24=""),"",'Personnel Yr 1'!B24),"")</f>
        <v/>
      </c>
      <c r="C24" s="581" t="s">
        <v>10</v>
      </c>
      <c r="D24" s="581"/>
      <c r="E24" s="581"/>
      <c r="F24" s="581"/>
      <c r="G24" s="581"/>
      <c r="H24" s="582"/>
      <c r="I24" s="22" t="str">
        <f>IF('Personnel Yr 1'!$J$5&gt;1,IF(OR(ISBLANK('Personnel Yr 1'!I24),'Personnel Yr 1'!I24=""),"",'Personnel Yr 1'!I24),"")</f>
        <v/>
      </c>
      <c r="J24" s="22" t="str">
        <f>IF('Personnel Yr 1'!$J$5&gt;1,IF(OR(ISBLANK('Personnel Yr 1'!J24),'Personnel Yr 1'!J24=""),"",'Personnel Yr 1'!J24),"")</f>
        <v/>
      </c>
      <c r="K24" s="22" t="str">
        <f>IF('Personnel Yr 1'!$J$5&gt;1,IF(OR(ISBLANK('Personnel Yr 1'!K24),'Personnel Yr 1'!K24=""),"",'Personnel Yr 1'!K24),"")</f>
        <v/>
      </c>
      <c r="L24" s="54" t="str">
        <f>IF('Personnel Yr 1'!$J$5&gt;1,IF(NOT(ISBLANK('Personnel Yr 1'!L24)),(('Personnel Yr 1'!L24*'Personnel Yr 1'!$D$5)+'Personnel Yr 1'!L24),""),"")</f>
        <v/>
      </c>
      <c r="M24" s="47" t="str">
        <f>IF('Personnel Yr 1'!$J$5&gt;1,IF(OR(ISBLANK(L24),L24=""),"",ROUND(L24*LOOKUP("Temp",Ben,Per),2)),"")</f>
        <v/>
      </c>
      <c r="N24" s="50" t="str">
        <f>IF('Personnel Yr 1'!$J$5&gt;1,IF(OR(ISBLANK(L24),L24=""),"",ROUND(SUM(L24:M24),2)),"")</f>
        <v/>
      </c>
      <c r="O24" s="268"/>
    </row>
    <row r="25" spans="2:27" x14ac:dyDescent="0.2">
      <c r="B25" s="20" t="str">
        <f>IF('Personnel Yr 1'!$J$5&gt;1,IF(OR(ISBLANK('Personnel Yr 1'!B25),'Personnel Yr 1'!B25=""),"",'Personnel Yr 1'!B25),"")</f>
        <v/>
      </c>
      <c r="C25" s="617" t="s">
        <v>504</v>
      </c>
      <c r="D25" s="581"/>
      <c r="E25" s="581"/>
      <c r="F25" s="581"/>
      <c r="G25" s="581"/>
      <c r="H25" s="582"/>
      <c r="I25" s="22" t="str">
        <f>IF('Personnel Yr 1'!$J$5&gt;1,IF(OR(ISBLANK('Personnel Yr 1'!I25),'Personnel Yr 1'!I25=""),"",'Personnel Yr 1'!I25),"")</f>
        <v/>
      </c>
      <c r="J25" s="22" t="str">
        <f>IF('Personnel Yr 1'!$J$5&gt;1,IF(OR(ISBLANK('Personnel Yr 1'!J25),'Personnel Yr 1'!J25=""),"",'Personnel Yr 1'!J25),"")</f>
        <v/>
      </c>
      <c r="K25" s="22" t="str">
        <f>IF('Personnel Yr 1'!$J$5&gt;1,IF(OR(ISBLANK('Personnel Yr 1'!K25),'Personnel Yr 1'!K25=""),"",'Personnel Yr 1'!K25),"")</f>
        <v/>
      </c>
      <c r="L25" s="54" t="str">
        <f>IF('Personnel Yr 1'!$J$5&gt;1,IF(NOT(ISBLANK('Personnel Yr 1'!L25)),(('Personnel Yr 1'!L25*'Personnel Yr 1'!$D$5)+'Personnel Yr 1'!L25),""),"")</f>
        <v/>
      </c>
      <c r="M25" s="47" t="str">
        <f>IF('Personnel Yr 1'!$J$5&gt;1,IF(OR(ISBLANK(L25),L25=""),"",ROUND(L25*LOOKUP("Full",Ben,Per),2)),"")</f>
        <v/>
      </c>
      <c r="N25" s="50" t="str">
        <f>IF('Personnel Yr 1'!$J$5&gt;1,IF(OR(ISBLANK(L25),L25=""),"",ROUND(SUM(L25:M25),2)),"")</f>
        <v/>
      </c>
      <c r="O25" s="268"/>
    </row>
    <row r="26" spans="2:27" x14ac:dyDescent="0.2">
      <c r="B26" s="20" t="str">
        <f>IF('Personnel Yr 1'!$J$5&gt;1,IF(OR(ISBLANK('Personnel Yr 1'!B26),'Personnel Yr 1'!B26=""),"",'Personnel Yr 1'!B26),"")</f>
        <v/>
      </c>
      <c r="C26" s="584" t="s">
        <v>458</v>
      </c>
      <c r="D26" s="581"/>
      <c r="E26" s="581"/>
      <c r="F26" s="581"/>
      <c r="G26" s="581"/>
      <c r="H26" s="582"/>
      <c r="I26" s="22" t="str">
        <f>IF('Personnel Yr 1'!$J$5&gt;1,IF(OR(ISBLANK('Personnel Yr 1'!I26),'Personnel Yr 1'!I26=""),"",'Personnel Yr 1'!I26),"")</f>
        <v/>
      </c>
      <c r="J26" s="22" t="str">
        <f>IF('Personnel Yr 1'!$J$5&gt;1,IF(OR(ISBLANK('Personnel Yr 1'!J26),'Personnel Yr 1'!J26=""),"",'Personnel Yr 1'!J26),"")</f>
        <v/>
      </c>
      <c r="K26" s="22" t="str">
        <f>IF('Personnel Yr 1'!$J$5&gt;1,IF(OR(ISBLANK('Personnel Yr 1'!K26),'Personnel Yr 1'!K26=""),"",'Personnel Yr 1'!K26),"")</f>
        <v/>
      </c>
      <c r="L26" s="54" t="str">
        <f>IF('Personnel Yr 1'!$J$5&gt;1,IF(NOT(ISBLANK('Personnel Yr 1'!L26)),(('Personnel Yr 1'!L26*'Personnel Yr 1'!$D$5)+'Personnel Yr 1'!L26),""),"")</f>
        <v/>
      </c>
      <c r="M26" s="44" t="str">
        <f>IF('Personnel Yr 1'!$J$5&gt;1,IF(OR(ISBLANK(L26),L26=""),"",ROUND(L26*LOOKUP("Temp",Ben,Per),2)),"")</f>
        <v/>
      </c>
      <c r="N26" s="51" t="str">
        <f>IF('Personnel Yr 1'!$J$5&gt;1,IF(OR(ISBLANK(L26),L26=""),"",ROUND(SUM(L26:M26),2)),"")</f>
        <v/>
      </c>
      <c r="O26" s="247"/>
    </row>
    <row r="27" spans="2:27" s="257" customFormat="1" x14ac:dyDescent="0.2">
      <c r="B27" s="20"/>
      <c r="C27" s="589" t="s">
        <v>421</v>
      </c>
      <c r="D27" s="588"/>
      <c r="E27" s="588"/>
      <c r="F27" s="588"/>
      <c r="G27" s="588"/>
      <c r="H27" s="588"/>
      <c r="I27" s="22"/>
      <c r="J27" s="22"/>
      <c r="K27" s="22"/>
      <c r="L27" s="54" t="str">
        <f>IF('Personnel Yr 1'!$J$5&gt;1,IF(NOT(ISBLANK('Personnel Yr 1'!L27)),(('Personnel Yr 1'!L27*'Personnel Yr 1'!$D$5)+'Personnel Yr 1'!L27),""),"")</f>
        <v/>
      </c>
      <c r="M27" s="44" t="str">
        <f>IF('Personnel Yr 1'!$J$5&gt;1,IF(OR(ISBLANK(L27),L27=""),"",ROUND(L27*LOOKUP("Temp",Ben,Per),2)),"")</f>
        <v/>
      </c>
      <c r="N27" s="51" t="str">
        <f>IF('Personnel Yr 1'!$J$5&gt;1,IF(OR(ISBLANK(L27),L27=""),"",ROUND(SUM(L27:M27),2)),"")</f>
        <v/>
      </c>
      <c r="O27" s="247"/>
      <c r="P27" s="336"/>
      <c r="Q27" s="336"/>
      <c r="R27" s="336"/>
      <c r="S27" s="336"/>
      <c r="T27" s="336"/>
      <c r="U27" s="336"/>
      <c r="V27" s="336"/>
      <c r="W27" s="336"/>
      <c r="X27" s="336"/>
      <c r="Y27" s="336"/>
      <c r="Z27" s="336"/>
      <c r="AA27" s="336"/>
    </row>
    <row r="28" spans="2:27" s="257" customFormat="1" ht="13.5" thickBot="1" x14ac:dyDescent="0.25">
      <c r="B28" s="164"/>
      <c r="C28" s="590" t="s">
        <v>422</v>
      </c>
      <c r="D28" s="591"/>
      <c r="E28" s="591"/>
      <c r="F28" s="591"/>
      <c r="G28" s="591"/>
      <c r="H28" s="591"/>
      <c r="I28" s="29"/>
      <c r="J28" s="29"/>
      <c r="K28" s="29"/>
      <c r="L28" s="55" t="str">
        <f>IF('Personnel Yr 1'!$J$5&gt;1,IF(NOT(ISBLANK('Personnel Yr 1'!L28)),(('Personnel Yr 1'!L28*'Personnel Yr 1'!$D$5)+'Personnel Yr 1'!L28),""),"")</f>
        <v/>
      </c>
      <c r="M28" s="52" t="str">
        <f>IF('Personnel Yr 1'!$J$5&gt;1,IF(OR(ISBLANK(L28),L28=""),"",ROUND(L28*LOOKUP("Adjunct",Ben,Per),2)),"")</f>
        <v/>
      </c>
      <c r="N28" s="270" t="str">
        <f>IF('Personnel Yr 1'!$J$5&gt;1,IF(OR(ISBLANK(L28),L28=""),"",ROUND(SUM(L28:M28),2)),"")</f>
        <v/>
      </c>
      <c r="O28" s="269"/>
      <c r="P28" s="336"/>
      <c r="Q28" s="336"/>
      <c r="R28" s="336"/>
      <c r="S28" s="336"/>
      <c r="T28" s="336"/>
      <c r="U28" s="336"/>
      <c r="V28" s="336"/>
      <c r="W28" s="336"/>
      <c r="X28" s="336"/>
      <c r="Y28" s="336"/>
      <c r="Z28" s="336"/>
      <c r="AA28" s="336"/>
    </row>
    <row r="29" spans="2:27" ht="13.5" thickBot="1" x14ac:dyDescent="0.25">
      <c r="B29" s="27">
        <f>SUM(B21:B26)</f>
        <v>0</v>
      </c>
      <c r="C29" s="618" t="s">
        <v>11</v>
      </c>
      <c r="D29" s="563"/>
      <c r="E29" s="563"/>
      <c r="F29" s="563"/>
      <c r="G29" s="23"/>
      <c r="H29" s="23"/>
      <c r="I29" s="573" t="s">
        <v>12</v>
      </c>
      <c r="J29" s="619"/>
      <c r="K29" s="619"/>
      <c r="L29" s="619"/>
      <c r="M29" s="620"/>
      <c r="N29" s="56">
        <f>ROUND(SUM(N21:N28),2)</f>
        <v>0</v>
      </c>
    </row>
    <row r="30" spans="2:27" ht="13.5" thickBot="1" x14ac:dyDescent="0.25">
      <c r="B30" s="9"/>
      <c r="C30" s="24"/>
      <c r="D30" s="24"/>
      <c r="E30" s="24"/>
      <c r="F30" s="24"/>
      <c r="G30" s="24"/>
      <c r="H30" s="25"/>
      <c r="I30" s="571" t="s">
        <v>13</v>
      </c>
      <c r="J30" s="571"/>
      <c r="K30" s="571"/>
      <c r="L30" s="571"/>
      <c r="M30" s="572"/>
      <c r="N30" s="48">
        <f>ROUND(SUM(N16,N29),2)</f>
        <v>0</v>
      </c>
    </row>
    <row r="31" spans="2:27" s="264" customFormat="1" hidden="1" x14ac:dyDescent="0.2">
      <c r="B31" s="9"/>
      <c r="C31" s="265"/>
      <c r="D31" s="265"/>
      <c r="E31" s="265"/>
      <c r="F31" s="265"/>
      <c r="G31" s="265"/>
      <c r="H31" s="25"/>
      <c r="I31" s="263"/>
      <c r="J31" s="263"/>
      <c r="K31" s="263"/>
      <c r="L31" s="263"/>
      <c r="M31" s="263"/>
      <c r="N31" s="327"/>
      <c r="P31" s="336"/>
      <c r="Q31" s="336"/>
      <c r="R31" s="336"/>
      <c r="S31" s="336"/>
      <c r="T31" s="336"/>
      <c r="U31" s="336"/>
      <c r="V31" s="336"/>
      <c r="W31" s="336"/>
      <c r="X31" s="336"/>
      <c r="Y31" s="336"/>
      <c r="Z31" s="336"/>
      <c r="AA31" s="336"/>
    </row>
    <row r="32" spans="2:27" s="264" customFormat="1" ht="13.5" hidden="1" thickBot="1" x14ac:dyDescent="0.25">
      <c r="B32" s="9"/>
      <c r="C32" s="265"/>
      <c r="D32" s="265"/>
      <c r="E32" s="265"/>
      <c r="F32" s="265"/>
      <c r="G32" s="265"/>
      <c r="H32" s="25"/>
      <c r="I32" s="263"/>
      <c r="J32" s="263"/>
      <c r="K32" s="263"/>
      <c r="L32" s="263"/>
      <c r="M32" s="263"/>
      <c r="N32" s="327"/>
      <c r="P32" s="336"/>
      <c r="Q32" s="336"/>
      <c r="R32" s="336"/>
      <c r="S32" s="336"/>
      <c r="T32" s="336"/>
      <c r="U32" s="336"/>
      <c r="V32" s="336"/>
      <c r="W32" s="336"/>
      <c r="X32" s="336"/>
      <c r="Y32" s="336"/>
      <c r="Z32" s="336"/>
      <c r="AA32" s="336"/>
    </row>
    <row r="33" spans="1:25" ht="12.75" hidden="1" customHeight="1" x14ac:dyDescent="0.2">
      <c r="G33" s="339"/>
      <c r="H33" s="555" t="s">
        <v>235</v>
      </c>
      <c r="I33" s="556"/>
      <c r="J33" s="556"/>
      <c r="K33" s="556"/>
      <c r="L33" s="557"/>
    </row>
    <row r="34" spans="1:25" ht="12.75" hidden="1" customHeight="1" thickBot="1" x14ac:dyDescent="0.25">
      <c r="G34" s="339"/>
      <c r="H34" s="558"/>
      <c r="I34" s="559"/>
      <c r="J34" s="559"/>
      <c r="K34" s="559"/>
      <c r="L34" s="560"/>
    </row>
    <row r="35" spans="1:25" ht="12.75" hidden="1" customHeight="1" x14ac:dyDescent="0.2">
      <c r="E35" s="253"/>
      <c r="G35" s="339"/>
      <c r="H35" s="546" t="s">
        <v>240</v>
      </c>
      <c r="I35" s="609"/>
      <c r="J35" s="609"/>
      <c r="K35" s="609"/>
      <c r="L35" s="610"/>
    </row>
    <row r="36" spans="1:25" ht="12.75" hidden="1" customHeight="1" x14ac:dyDescent="0.2">
      <c r="G36" s="339"/>
      <c r="H36" s="611"/>
      <c r="I36" s="612"/>
      <c r="J36" s="612"/>
      <c r="K36" s="612"/>
      <c r="L36" s="613"/>
    </row>
    <row r="37" spans="1:25" ht="12.75" hidden="1" customHeight="1" x14ac:dyDescent="0.2">
      <c r="E37" s="253"/>
      <c r="G37" s="339"/>
      <c r="H37" s="611"/>
      <c r="I37" s="612"/>
      <c r="J37" s="612"/>
      <c r="K37" s="612"/>
      <c r="L37" s="613"/>
    </row>
    <row r="38" spans="1:25" ht="12.75" hidden="1" customHeight="1" x14ac:dyDescent="0.2">
      <c r="G38" s="339"/>
      <c r="H38" s="611"/>
      <c r="I38" s="612"/>
      <c r="J38" s="612"/>
      <c r="K38" s="612"/>
      <c r="L38" s="613"/>
    </row>
    <row r="39" spans="1:25" ht="12.75" hidden="1" customHeight="1" thickBot="1" x14ac:dyDescent="0.25">
      <c r="G39" s="339"/>
      <c r="H39" s="614"/>
      <c r="I39" s="615"/>
      <c r="J39" s="615"/>
      <c r="K39" s="615"/>
      <c r="L39" s="616"/>
    </row>
    <row r="40" spans="1:25" ht="12.75" hidden="1" customHeight="1" thickBot="1" x14ac:dyDescent="0.25">
      <c r="G40" s="339"/>
      <c r="H40" s="174" t="s">
        <v>236</v>
      </c>
      <c r="I40" s="167"/>
      <c r="J40" s="173" t="s">
        <v>237</v>
      </c>
      <c r="K40" s="173" t="s">
        <v>238</v>
      </c>
      <c r="L40" s="172" t="s">
        <v>239</v>
      </c>
    </row>
    <row r="41" spans="1:25" ht="13.5" hidden="1" customHeight="1" thickBot="1" x14ac:dyDescent="0.25">
      <c r="G41" s="339"/>
      <c r="H41" s="168">
        <v>0</v>
      </c>
      <c r="I41" s="169"/>
      <c r="J41" s="170">
        <f>H41*12</f>
        <v>0</v>
      </c>
      <c r="K41" s="170">
        <f>H41*8.5</f>
        <v>0</v>
      </c>
      <c r="L41" s="171">
        <f>H41*3.5</f>
        <v>0</v>
      </c>
    </row>
    <row r="42" spans="1:25" hidden="1" x14ac:dyDescent="0.2">
      <c r="A42" s="264"/>
      <c r="B42" s="545" t="s">
        <v>242</v>
      </c>
      <c r="C42" s="545"/>
      <c r="D42" s="545"/>
      <c r="E42" s="264"/>
      <c r="F42" s="264"/>
      <c r="G42" s="264"/>
      <c r="H42" s="264"/>
      <c r="I42" s="264"/>
      <c r="J42" s="264"/>
      <c r="K42" s="264"/>
      <c r="L42" s="264"/>
      <c r="M42" s="264"/>
      <c r="N42" s="264"/>
      <c r="O42" s="264"/>
    </row>
    <row r="43" spans="1:25" ht="26.25" hidden="1" thickBot="1" x14ac:dyDescent="0.25">
      <c r="A43" s="2"/>
      <c r="B43" s="3" t="s">
        <v>0</v>
      </c>
      <c r="C43" s="3" t="s">
        <v>1</v>
      </c>
      <c r="D43" s="3" t="s">
        <v>2</v>
      </c>
      <c r="E43" s="3" t="s">
        <v>3</v>
      </c>
      <c r="F43" s="3" t="s">
        <v>4</v>
      </c>
      <c r="G43" s="3" t="s">
        <v>42</v>
      </c>
      <c r="H43" s="3" t="s">
        <v>43</v>
      </c>
      <c r="I43" s="445" t="s">
        <v>60</v>
      </c>
      <c r="J43" s="445" t="s">
        <v>61</v>
      </c>
      <c r="K43" s="3" t="s">
        <v>62</v>
      </c>
      <c r="L43" s="4" t="s">
        <v>44</v>
      </c>
      <c r="M43" s="3" t="s">
        <v>45</v>
      </c>
      <c r="N43" s="3" t="s">
        <v>41</v>
      </c>
      <c r="O43" s="3" t="s">
        <v>234</v>
      </c>
      <c r="P43" s="335" t="s">
        <v>66</v>
      </c>
      <c r="Q43" s="335" t="s">
        <v>67</v>
      </c>
      <c r="R43" s="335" t="s">
        <v>68</v>
      </c>
      <c r="S43" s="347"/>
      <c r="T43" s="335" t="s">
        <v>66</v>
      </c>
      <c r="U43" s="335" t="s">
        <v>67</v>
      </c>
      <c r="V43" s="335" t="s">
        <v>68</v>
      </c>
      <c r="Y43" s="336" t="s">
        <v>464</v>
      </c>
    </row>
    <row r="44" spans="1:25" hidden="1" x14ac:dyDescent="0.2">
      <c r="A44" s="5">
        <v>1</v>
      </c>
      <c r="B44" s="28" t="str">
        <f>IF('Personnel Yr 1'!$J$5&gt;1,IF(NOT(OR(ISBLANK('Personnel Yr 1'!B44),'Personnel Yr 1'!B44="")),'Personnel Yr 1'!B44,""),"")</f>
        <v/>
      </c>
      <c r="C44" s="17" t="str">
        <f>IF('Personnel Yr 1'!$J$5&gt;1,IF(ISBLANK('Personnel Yr 1'!C44),"",'Personnel Yr 1'!C44),"")</f>
        <v/>
      </c>
      <c r="D44" s="17" t="str">
        <f>IF('Personnel Yr 1'!$J$5&gt;1,IF(ISBLANK('Personnel Yr 1'!D44),"",'Personnel Yr 1'!D44),"")</f>
        <v/>
      </c>
      <c r="E44" s="183" t="str">
        <f>IF('Personnel Yr 1'!$J$5&gt;1,IF(ISBLANK('Personnel Yr 1'!E44),"",'Personnel Yr 1'!E44),"")</f>
        <v/>
      </c>
      <c r="F44" s="17" t="str">
        <f>IF('Personnel Yr 1'!$J$5&gt;1,IF(ISBLANK('Personnel Yr 1'!F44),"",'Personnel Yr 1'!F44),"")</f>
        <v/>
      </c>
      <c r="G44" s="176" t="str">
        <f>IF('Personnel Yr 1'!$J$5&gt;1,IF(ISBLANK('Personnel Yr 1'!G44),"",'Personnel Yr 1'!G44),"")</f>
        <v/>
      </c>
      <c r="H44" s="177" t="str">
        <f>IF('Personnel Yr 1'!$J$5&gt;1,IF(NOT(ISBLANK('Personnel Yr 1'!H44)),(('Personnel Yr 1'!H44*'Personnel Yr 1'!$D$5)+'Personnel Yr 1'!H44),""),"")</f>
        <v/>
      </c>
      <c r="I44" s="17" t="str">
        <f>IF('Personnel Yr 1'!$J$5&gt;1,IF(AND(OR(ISBLANK($H44),$H44=""),ISBLANK('Personnel Yr 1'!I44)),"",'Personnel Yr 1'!I44),"")</f>
        <v/>
      </c>
      <c r="J44" s="17" t="str">
        <f>IF('Personnel Yr 1'!$J$5&gt;1,IF(AND(OR(ISBLANK($H44),$H44=""),ISBLANK('Personnel Yr 1'!J44)),"",'Personnel Yr 1'!J44),"")</f>
        <v/>
      </c>
      <c r="K44" s="17" t="str">
        <f>IF('Personnel Yr 1'!$J$5&gt;1,IF(AND(OR(ISBLANK($H44),$H44=""),ISBLANK('Personnel Yr 1'!K44)),"",'Personnel Yr 1'!K44),"")</f>
        <v/>
      </c>
      <c r="L44" s="45" t="str">
        <f>IF('Personnel Yr 1'!$J$5&gt;1,IF(NOT(OR(ISBLANK(H44),H44="")), IF(OR(AND(ISBLANK(I44),ISBLANK(J44),ISBLANK(K44)),AND(I44="",J44="",K44="")),0, IF((AND((I44&gt;0),((J44+K44)&gt;0))),"Error", IF((I44&gt;0),ROUND((IF(AND('Personnel Yr 1'!$O$5&gt;0,H44&gt;'Personnel Yr 1'!$O$5),'Personnel Yr 1'!$O$5,H44)*(I44/12)),2),ROUND((IF(AND('Personnel Yr 1'!$O$5&gt;0,H44&gt;'Personnel Yr 1'!$O$5),'Personnel Yr 1'!$O$5,H44)*((J44+K44)/8.5)),2)))),""),"")</f>
        <v/>
      </c>
      <c r="M44" s="45" t="str">
        <f>IF('Personnel Yr 1'!$J$5&gt;1,IF(OR(ISBLANK(L44),L44=""),"",ROUND(SUM(T44:V44),2)),"")</f>
        <v/>
      </c>
      <c r="N44" s="46" t="str">
        <f>IF('Personnel Yr 1'!$J$5&gt;1,IF(OR(ISBLANK(M44),M44=""),"",ROUND(SUM(L44:M44),2)),"")</f>
        <v/>
      </c>
      <c r="O44" s="158"/>
      <c r="P44" s="347" t="str">
        <f>IF('Personnel Yr 1'!$J$5&gt;1,IF(NOT(OR(ISBLANK(I44),I44="")),(H44/12)*I44,""),0)</f>
        <v/>
      </c>
      <c r="Q44" s="347" t="str">
        <f>IF('Personnel Yr 1'!$J$5&gt;1,IF(NOT(OR(ISBLANK(J44),J44="")),(H44/8.5)*J44,""),0)</f>
        <v/>
      </c>
      <c r="R44" s="347" t="str">
        <f>IF('Personnel Yr 1'!$J$5&gt;1,IF(NOT(OR(ISBLANK(K44),K44="")),(H44/8.5)*K44,""),0)</f>
        <v/>
      </c>
      <c r="S44" s="347"/>
      <c r="T44" s="347">
        <f>IF(OR(ISBLANK(P44),P44=""),0,P44*LOOKUP("Full",Ben,Per))</f>
        <v>0</v>
      </c>
      <c r="U44" s="347">
        <f>IF(OR(ISBLANK(Q44),Q44=""),0,Q44*LOOKUP("Full",Ben,Per))</f>
        <v>0</v>
      </c>
      <c r="V44" s="347">
        <f>IF(OR(ISBLANK(R44),R44=""),0,R44*LOOKUP("Summer",Ben,Per))</f>
        <v>0</v>
      </c>
      <c r="Y44" s="336" t="b">
        <f>IF('Personnel Yr 1'!$J$5&gt;1,IF(OR($N$5&lt;&gt;"Federal - NIH",OR(AND(ISBLANK(I44),ISBLANK(J44),ISBLANK(K44)),AND(I44="",J44="",K44=""))),FALSE,IF(I44&gt;0,H44&gt;NIHSalaryCap,H44&gt;(NIHSalaryCap*8.5)/12)),FALSE)</f>
        <v>0</v>
      </c>
    </row>
    <row r="45" spans="1:25" hidden="1" x14ac:dyDescent="0.2">
      <c r="A45" s="5">
        <v>2</v>
      </c>
      <c r="B45" s="6" t="str">
        <f>IF('Personnel Yr 1'!$J$5&gt;1,IF(NOT(OR(ISBLANK('Personnel Yr 1'!B45),'Personnel Yr 1'!B45="")),'Personnel Yr 1'!B45,""),"")</f>
        <v/>
      </c>
      <c r="C45" s="22" t="str">
        <f>IF('Personnel Yr 1'!$J$5&gt;1,IF(ISBLANK('Personnel Yr 1'!C45),"",'Personnel Yr 1'!C45),"")</f>
        <v/>
      </c>
      <c r="D45" s="22" t="str">
        <f>IF('Personnel Yr 1'!$J$5&gt;1,IF(ISBLANK('Personnel Yr 1'!D45),"",'Personnel Yr 1'!D45),"")</f>
        <v/>
      </c>
      <c r="E45" s="22" t="str">
        <f>IF('Personnel Yr 1'!$J$5&gt;1,IF(ISBLANK('Personnel Yr 1'!E45),"",'Personnel Yr 1'!E45),"")</f>
        <v/>
      </c>
      <c r="F45" s="22" t="str">
        <f>IF('Personnel Yr 1'!$J$5&gt;1,IF(ISBLANK('Personnel Yr 1'!F45),"",'Personnel Yr 1'!F45),"")</f>
        <v/>
      </c>
      <c r="G45" s="22" t="str">
        <f>IF('Personnel Yr 1'!$J$5&gt;1,IF(ISBLANK('Personnel Yr 1'!G45),"",'Personnel Yr 1'!G45),"")</f>
        <v/>
      </c>
      <c r="H45" s="42" t="str">
        <f>IF('Personnel Yr 1'!$J$5&gt;1,IF(NOT(ISBLANK('Personnel Yr 1'!H45)),(('Personnel Yr 1'!H45*'Personnel Yr 1'!$D$5)+'Personnel Yr 1'!H45),""),"")</f>
        <v/>
      </c>
      <c r="I45" s="22" t="str">
        <f>IF('Personnel Yr 1'!$J$5&gt;1,IF(AND(OR(ISBLANK($H45),$H45=""),ISBLANK('Personnel Yr 1'!I45)),"",'Personnel Yr 1'!I45),"")</f>
        <v/>
      </c>
      <c r="J45" s="22" t="str">
        <f>IF('Personnel Yr 1'!$J$5&gt;1,IF(AND(OR(ISBLANK($H45),$H45=""),ISBLANK('Personnel Yr 1'!J45)),"",'Personnel Yr 1'!J45),"")</f>
        <v/>
      </c>
      <c r="K45" s="22" t="str">
        <f>IF('Personnel Yr 1'!$J$5&gt;1,IF(AND(OR(ISBLANK($H45),$H45=""),ISBLANK('Personnel Yr 1'!K45)),"",'Personnel Yr 1'!K45),"")</f>
        <v/>
      </c>
      <c r="L45" s="44" t="str">
        <f>IF('Personnel Yr 1'!$J$5&gt;1,IF(NOT(OR(ISBLANK(H45),H45="")), IF(OR(AND(ISBLANK(I45),ISBLANK(J45),ISBLANK(K45)),AND(I45="",J45="",K45="")),0, IF((AND((I45&gt;0),((J45+K45)&gt;0))),"Error", IF((I45&gt;0),ROUND((IF(AND('Personnel Yr 1'!$O$5&gt;0,H45&gt;'Personnel Yr 1'!$O$5),'Personnel Yr 1'!$O$5,H45)*(I45/12)),2),ROUND((IF(AND('Personnel Yr 1'!$O$5&gt;0,H45&gt;'Personnel Yr 1'!$O$5),'Personnel Yr 1'!$O$5,H45)*((J45+K45)/8.5)),2)))),""),"")</f>
        <v/>
      </c>
      <c r="M45" s="44" t="str">
        <f>IF('Personnel Yr 1'!$J$5&gt;1,IF(OR(ISBLANK(L45),L45=""),"",ROUND(SUM(T45:V45),2)),"")</f>
        <v/>
      </c>
      <c r="N45" s="51" t="str">
        <f>IF('Personnel Yr 1'!$J$5&gt;1,IF(OR(ISBLANK(M45),M45=""),"",ROUND(SUM(L45:M45),2)),"")</f>
        <v/>
      </c>
      <c r="O45" s="157"/>
      <c r="P45" s="347" t="str">
        <f>IF('Personnel Yr 1'!$J$5&gt;1,IF(NOT(OR(ISBLANK(I45),I45="")),(H45/12)*I45,""),0)</f>
        <v/>
      </c>
      <c r="Q45" s="347" t="str">
        <f>IF('Personnel Yr 1'!$J$5&gt;1,IF(NOT(OR(ISBLANK(J45),J45="")),(H45/8.5)*J45,""),0)</f>
        <v/>
      </c>
      <c r="R45" s="347" t="str">
        <f>IF('Personnel Yr 1'!$J$5&gt;1,IF(NOT(OR(ISBLANK(K45),K45="")),(H45/8.5)*K45,""),0)</f>
        <v/>
      </c>
      <c r="S45" s="347"/>
      <c r="T45" s="347">
        <f t="shared" ref="T45:T51" si="2">IF(OR(ISBLANK(P45),P45=""),0,P45*LOOKUP("Full",Ben,Per))</f>
        <v>0</v>
      </c>
      <c r="U45" s="347">
        <f t="shared" ref="U45:U51" si="3">IF(OR(ISBLANK(Q45),Q45=""),0,Q45*LOOKUP("Full",Ben,Per))</f>
        <v>0</v>
      </c>
      <c r="V45" s="347">
        <f t="shared" ref="V45:V51" si="4">IF(OR(ISBLANK(R45),R45=""),0,R45*LOOKUP("Summer",Ben,Per))</f>
        <v>0</v>
      </c>
      <c r="Y45" s="336" t="b">
        <f>IF('Personnel Yr 1'!$J$5&gt;1,IF(OR($N$5&lt;&gt;"Federal - NIH",OR(AND(ISBLANK(I45),ISBLANK(J45),ISBLANK(K45)),AND(I45="",J45="",K45=""))),FALSE,IF(I45&gt;0,H45&gt;NIHSalaryCap,H45&gt;(NIHSalaryCap*8.5)/12)),FALSE)</f>
        <v>0</v>
      </c>
    </row>
    <row r="46" spans="1:25" hidden="1" x14ac:dyDescent="0.2">
      <c r="A46" s="5">
        <v>3</v>
      </c>
      <c r="B46" s="6" t="str">
        <f>IF('Personnel Yr 1'!$J$5&gt;1,IF(NOT(OR(ISBLANK('Personnel Yr 1'!B46),'Personnel Yr 1'!B46="")),'Personnel Yr 1'!B46,""),"")</f>
        <v/>
      </c>
      <c r="C46" s="22" t="str">
        <f>IF('Personnel Yr 1'!$J$5&gt;1,IF(ISBLANK('Personnel Yr 1'!C46),"",'Personnel Yr 1'!C46),"")</f>
        <v/>
      </c>
      <c r="D46" s="22" t="str">
        <f>IF('Personnel Yr 1'!$J$5&gt;1,IF(ISBLANK('Personnel Yr 1'!D46),"",'Personnel Yr 1'!D46),"")</f>
        <v/>
      </c>
      <c r="E46" s="22" t="str">
        <f>IF('Personnel Yr 1'!$J$5&gt;1,IF(ISBLANK('Personnel Yr 1'!E46),"",'Personnel Yr 1'!E46),"")</f>
        <v/>
      </c>
      <c r="F46" s="22" t="str">
        <f>IF('Personnel Yr 1'!$J$5&gt;1,IF(ISBLANK('Personnel Yr 1'!F46),"",'Personnel Yr 1'!F46),"")</f>
        <v/>
      </c>
      <c r="G46" s="70" t="str">
        <f>IF('Personnel Yr 1'!$J$5&gt;1,IF(ISBLANK('Personnel Yr 1'!G46),"",'Personnel Yr 1'!G46),"")</f>
        <v/>
      </c>
      <c r="H46" s="42" t="str">
        <f>IF('Personnel Yr 1'!$J$5&gt;1,IF(NOT(ISBLANK('Personnel Yr 1'!H46)),(('Personnel Yr 1'!H46*'Personnel Yr 1'!$D$5)+'Personnel Yr 1'!H46),""),"")</f>
        <v/>
      </c>
      <c r="I46" s="22" t="str">
        <f>IF('Personnel Yr 1'!$J$5&gt;1,IF(AND(OR(ISBLANK($H46),$H46=""),ISBLANK('Personnel Yr 1'!I46)),"",'Personnel Yr 1'!I46),"")</f>
        <v/>
      </c>
      <c r="J46" s="22" t="str">
        <f>IF('Personnel Yr 1'!$J$5&gt;1,IF(AND(OR(ISBLANK($H46),$H46=""),ISBLANK('Personnel Yr 1'!J46)),"",'Personnel Yr 1'!J46),"")</f>
        <v/>
      </c>
      <c r="K46" s="22" t="str">
        <f>IF('Personnel Yr 1'!$J$5&gt;1,IF(AND(OR(ISBLANK($H46),$H46=""),ISBLANK('Personnel Yr 1'!K46)),"",'Personnel Yr 1'!K46),"")</f>
        <v/>
      </c>
      <c r="L46" s="155" t="str">
        <f>IF('Personnel Yr 1'!$J$5&gt;1,IF(NOT(OR(ISBLANK(H46),H46="")), IF(OR(AND(ISBLANK(I46),ISBLANK(J46),ISBLANK(K46)),AND(I46="",J46="",K46="")),0, IF((AND((I46&gt;0),((J46+K46)&gt;0))),"Error", IF((I46&gt;0),ROUND((IF(AND('Personnel Yr 1'!$O$5&gt;0,H46&gt;'Personnel Yr 1'!$O$5),'Personnel Yr 1'!$O$5,H46)*(I46/12)),2),ROUND((IF(AND('Personnel Yr 1'!$O$5&gt;0,H46&gt;'Personnel Yr 1'!$O$5),'Personnel Yr 1'!$O$5,H46)*((J46+K46)/8.5)),2)))),""),"")</f>
        <v/>
      </c>
      <c r="M46" s="44" t="str">
        <f>IF('Personnel Yr 1'!$J$5&gt;1,IF(OR(ISBLANK(L46),L46=""),"",ROUND(SUM(T46:V46),2)),"")</f>
        <v/>
      </c>
      <c r="N46" s="51" t="str">
        <f>IF('Personnel Yr 1'!$J$5&gt;1,IF(OR(ISBLANK(M46),M46=""),"",ROUND(SUM(L46:M46),2)),"")</f>
        <v/>
      </c>
      <c r="O46" s="160"/>
      <c r="P46" s="347" t="str">
        <f>IF('Personnel Yr 1'!$J$5&gt;1,IF(NOT(OR(ISBLANK(I46),I46="")),(H46/12)*I46,""),0)</f>
        <v/>
      </c>
      <c r="Q46" s="347" t="str">
        <f>IF('Personnel Yr 1'!$J$5&gt;1,IF(NOT(OR(ISBLANK(J46),J46="")),(H46/8.5)*J46,""),0)</f>
        <v/>
      </c>
      <c r="R46" s="347" t="str">
        <f>IF('Personnel Yr 1'!$J$5&gt;1,IF(NOT(OR(ISBLANK(K46),K46="")),(H46/8.5)*K46,""),0)</f>
        <v/>
      </c>
      <c r="S46" s="347"/>
      <c r="T46" s="347">
        <f t="shared" si="2"/>
        <v>0</v>
      </c>
      <c r="U46" s="347">
        <f t="shared" si="3"/>
        <v>0</v>
      </c>
      <c r="V46" s="347">
        <f t="shared" si="4"/>
        <v>0</v>
      </c>
      <c r="Y46" s="336" t="b">
        <f>IF('Personnel Yr 1'!$J$5&gt;1,IF(OR($N$5&lt;&gt;"Federal - NIH",OR(AND(ISBLANK(I46),ISBLANK(J46),ISBLANK(K46)),AND(I46="",J46="",K46=""))),FALSE,IF(I46&gt;0,H46&gt;NIHSalaryCap,H46&gt;(NIHSalaryCap*8.5)/12)),FALSE)</f>
        <v>0</v>
      </c>
    </row>
    <row r="47" spans="1:25" hidden="1" x14ac:dyDescent="0.2">
      <c r="A47" s="5">
        <v>4</v>
      </c>
      <c r="B47" s="6" t="str">
        <f>IF('Personnel Yr 1'!$J$5&gt;1,IF(NOT(OR(ISBLANK('Personnel Yr 1'!B47),'Personnel Yr 1'!B47="")),'Personnel Yr 1'!B47,""),"")</f>
        <v/>
      </c>
      <c r="C47" s="22" t="str">
        <f>IF('Personnel Yr 1'!$J$5&gt;1,IF(ISBLANK('Personnel Yr 1'!C47),"",'Personnel Yr 1'!C47),"")</f>
        <v/>
      </c>
      <c r="D47" s="22" t="str">
        <f>IF('Personnel Yr 1'!$J$5&gt;1,IF(ISBLANK('Personnel Yr 1'!D47),"",'Personnel Yr 1'!D47),"")</f>
        <v/>
      </c>
      <c r="E47" s="22" t="str">
        <f>IF('Personnel Yr 1'!$J$5&gt;1,IF(ISBLANK('Personnel Yr 1'!E47),"",'Personnel Yr 1'!E47),"")</f>
        <v/>
      </c>
      <c r="F47" s="22" t="str">
        <f>IF('Personnel Yr 1'!$J$5&gt;1,IF(ISBLANK('Personnel Yr 1'!F47),"",'Personnel Yr 1'!F47),"")</f>
        <v/>
      </c>
      <c r="G47" s="71" t="str">
        <f>IF('Personnel Yr 1'!$J$5&gt;1,IF(ISBLANK('Personnel Yr 1'!G47),"",'Personnel Yr 1'!G47),"")</f>
        <v/>
      </c>
      <c r="H47" s="42" t="str">
        <f>IF('Personnel Yr 1'!$J$5&gt;1,IF(NOT(ISBLANK('Personnel Yr 1'!H47)),(('Personnel Yr 1'!H47*'Personnel Yr 1'!$D$5)+'Personnel Yr 1'!H47),""),"")</f>
        <v/>
      </c>
      <c r="I47" s="22" t="str">
        <f>IF('Personnel Yr 1'!$J$5&gt;1,IF(AND(OR(ISBLANK($H47),$H47=""),ISBLANK('Personnel Yr 1'!I47)),"",'Personnel Yr 1'!I47),"")</f>
        <v/>
      </c>
      <c r="J47" s="22" t="str">
        <f>IF('Personnel Yr 1'!$J$5&gt;1,IF(AND(OR(ISBLANK($H47),$H47=""),ISBLANK('Personnel Yr 1'!J47)),"",'Personnel Yr 1'!J47),"")</f>
        <v/>
      </c>
      <c r="K47" s="22" t="str">
        <f>IF('Personnel Yr 1'!$J$5&gt;1,IF(AND(OR(ISBLANK($H47),$H47=""),ISBLANK('Personnel Yr 1'!K47)),"",'Personnel Yr 1'!K47),"")</f>
        <v/>
      </c>
      <c r="L47" s="156" t="str">
        <f>IF('Personnel Yr 1'!$J$5&gt;1,IF(NOT(OR(ISBLANK(H47),H47="")), IF(OR(AND(ISBLANK(I47),ISBLANK(J47),ISBLANK(K47)),AND(I47="",J47="",K47="")),0, IF((AND((I47&gt;0),((J47+K47)&gt;0))),"Error", IF((I47&gt;0),ROUND((IF(AND('Personnel Yr 1'!$O$5&gt;0,H47&gt;'Personnel Yr 1'!$O$5),'Personnel Yr 1'!$O$5,H47)*(I47/12)),2),ROUND((IF(AND('Personnel Yr 1'!$O$5&gt;0,H47&gt;'Personnel Yr 1'!$O$5),'Personnel Yr 1'!$O$5,H47)*((J47+K47)/8.5)),2)))),""),"")</f>
        <v/>
      </c>
      <c r="M47" s="44" t="str">
        <f>IF('Personnel Yr 1'!$J$5&gt;1,IF(OR(ISBLANK(L47),L47=""),"",ROUND(SUM(T47:V47),2)),"")</f>
        <v/>
      </c>
      <c r="N47" s="51" t="str">
        <f>IF('Personnel Yr 1'!$J$5&gt;1,IF(OR(ISBLANK(M47),M47=""),"",ROUND(SUM(L47:M47),2)),"")</f>
        <v/>
      </c>
      <c r="O47" s="159"/>
      <c r="P47" s="347" t="str">
        <f>IF('Personnel Yr 1'!$J$5&gt;1,IF(NOT(OR(ISBLANK(I47),I47="")),(H47/12)*I47,""),0)</f>
        <v/>
      </c>
      <c r="Q47" s="347" t="str">
        <f>IF('Personnel Yr 1'!$J$5&gt;1,IF(NOT(OR(ISBLANK(J47),J47="")),(H47/8.5)*J47,""),0)</f>
        <v/>
      </c>
      <c r="R47" s="347" t="str">
        <f>IF('Personnel Yr 1'!$J$5&gt;1,IF(NOT(OR(ISBLANK(K47),K47="")),(H47/8.5)*K47,""),0)</f>
        <v/>
      </c>
      <c r="S47" s="347"/>
      <c r="T47" s="347">
        <f t="shared" si="2"/>
        <v>0</v>
      </c>
      <c r="U47" s="347">
        <f t="shared" si="3"/>
        <v>0</v>
      </c>
      <c r="V47" s="347">
        <f t="shared" si="4"/>
        <v>0</v>
      </c>
      <c r="Y47" s="336" t="b">
        <f>IF('Personnel Yr 1'!$J$5&gt;1,IF(OR($N$5&lt;&gt;"Federal - NIH",OR(AND(ISBLANK(I47),ISBLANK(J47),ISBLANK(K47)),AND(I47="",J47="",K47=""))),FALSE,IF(I47&gt;0,H47&gt;NIHSalaryCap,H47&gt;(NIHSalaryCap*8.5)/12)),FALSE)</f>
        <v>0</v>
      </c>
    </row>
    <row r="48" spans="1:25" hidden="1" x14ac:dyDescent="0.2">
      <c r="A48" s="5">
        <v>5</v>
      </c>
      <c r="B48" s="6" t="str">
        <f>IF('Personnel Yr 1'!$J$5&gt;1,IF(NOT(OR(ISBLANK('Personnel Yr 1'!B48),'Personnel Yr 1'!B48="")),'Personnel Yr 1'!B48,""),"")</f>
        <v/>
      </c>
      <c r="C48" s="22" t="str">
        <f>IF('Personnel Yr 1'!$J$5&gt;1,IF(ISBLANK('Personnel Yr 1'!C48),"",'Personnel Yr 1'!C48),"")</f>
        <v/>
      </c>
      <c r="D48" s="22" t="str">
        <f>IF('Personnel Yr 1'!$J$5&gt;1,IF(ISBLANK('Personnel Yr 1'!D48),"",'Personnel Yr 1'!D48),"")</f>
        <v/>
      </c>
      <c r="E48" s="22" t="str">
        <f>IF('Personnel Yr 1'!$J$5&gt;1,IF(ISBLANK('Personnel Yr 1'!E48),"",'Personnel Yr 1'!E48),"")</f>
        <v/>
      </c>
      <c r="F48" s="22" t="str">
        <f>IF('Personnel Yr 1'!$J$5&gt;1,IF(ISBLANK('Personnel Yr 1'!F48),"",'Personnel Yr 1'!F48),"")</f>
        <v/>
      </c>
      <c r="G48" s="22" t="str">
        <f>IF('Personnel Yr 1'!$J$5&gt;1,IF(ISBLANK('Personnel Yr 1'!G48),"",'Personnel Yr 1'!G48),"")</f>
        <v/>
      </c>
      <c r="H48" s="42" t="str">
        <f>IF('Personnel Yr 1'!$J$5&gt;1,IF(NOT(ISBLANK('Personnel Yr 1'!H48)),(('Personnel Yr 1'!H48*'Personnel Yr 1'!$D$5)+'Personnel Yr 1'!H48),""),"")</f>
        <v/>
      </c>
      <c r="I48" s="22" t="str">
        <f>IF('Personnel Yr 1'!$J$5&gt;1,IF(AND(OR(ISBLANK($H48),$H48=""),ISBLANK('Personnel Yr 1'!I48)),"",'Personnel Yr 1'!I48),"")</f>
        <v/>
      </c>
      <c r="J48" s="22" t="str">
        <f>IF('Personnel Yr 1'!$J$5&gt;1,IF(AND(OR(ISBLANK($H48),$H48=""),ISBLANK('Personnel Yr 1'!J48)),"",'Personnel Yr 1'!J48),"")</f>
        <v/>
      </c>
      <c r="K48" s="22" t="str">
        <f>IF('Personnel Yr 1'!$J$5&gt;1,IF(AND(OR(ISBLANK($H48),$H48=""),ISBLANK('Personnel Yr 1'!K48)),"",'Personnel Yr 1'!K48),"")</f>
        <v/>
      </c>
      <c r="L48" s="156" t="str">
        <f>IF('Personnel Yr 1'!$J$5&gt;1,IF(NOT(OR(ISBLANK(H48),H48="")), IF(OR(AND(ISBLANK(I48),ISBLANK(J48),ISBLANK(K48)),AND(I48="",J48="",K48="")),0, IF((AND((I48&gt;0),((J48+K48)&gt;0))),"Error", IF((I48&gt;0),ROUND((IF(AND('Personnel Yr 1'!$O$5&gt;0,H48&gt;'Personnel Yr 1'!$O$5),'Personnel Yr 1'!$O$5,H48)*(I48/12)),2),ROUND((IF(AND('Personnel Yr 1'!$O$5&gt;0,H48&gt;'Personnel Yr 1'!$O$5),'Personnel Yr 1'!$O$5,H48)*((J48+K48)/8.5)),2)))),""),"")</f>
        <v/>
      </c>
      <c r="M48" s="44" t="str">
        <f>IF('Personnel Yr 1'!$J$5&gt;1,IF(OR(ISBLANK(L48),L48=""),"",ROUND(SUM(T48:V48),2)),"")</f>
        <v/>
      </c>
      <c r="N48" s="51" t="str">
        <f>IF('Personnel Yr 1'!$J$5&gt;1,IF(OR(ISBLANK(M48),M48=""),"",ROUND(SUM(L48:M48),2)),"")</f>
        <v/>
      </c>
      <c r="O48" s="159"/>
      <c r="P48" s="347" t="str">
        <f>IF('Personnel Yr 1'!$J$5&gt;1,IF(NOT(OR(ISBLANK(I48),I48="")),(H48/12)*I48,""),0)</f>
        <v/>
      </c>
      <c r="Q48" s="347" t="str">
        <f>IF('Personnel Yr 1'!$J$5&gt;1,IF(NOT(OR(ISBLANK(J48),J48="")),(H48/8.5)*J48,""),0)</f>
        <v/>
      </c>
      <c r="R48" s="347" t="str">
        <f>IF('Personnel Yr 1'!$J$5&gt;1,IF(NOT(OR(ISBLANK(K48),K48="")),(H48/8.5)*K48,""),0)</f>
        <v/>
      </c>
      <c r="S48" s="347"/>
      <c r="T48" s="347">
        <f t="shared" si="2"/>
        <v>0</v>
      </c>
      <c r="U48" s="347">
        <f t="shared" si="3"/>
        <v>0</v>
      </c>
      <c r="V48" s="347">
        <f t="shared" si="4"/>
        <v>0</v>
      </c>
      <c r="Y48" s="336" t="b">
        <f>IF('Personnel Yr 1'!$J$5&gt;1,IF(OR($N$5&lt;&gt;"Federal - NIH",OR(AND(ISBLANK(I48),ISBLANK(J48),ISBLANK(K48)),AND(I48="",J48="",K48=""))),FALSE,IF(I48&gt;0,H48&gt;NIHSalaryCap,H48&gt;(NIHSalaryCap*8.5)/12)),FALSE)</f>
        <v>0</v>
      </c>
    </row>
    <row r="49" spans="1:25" hidden="1" x14ac:dyDescent="0.2">
      <c r="A49" s="5">
        <v>6</v>
      </c>
      <c r="B49" s="6" t="str">
        <f>IF('Personnel Yr 1'!$J$5&gt;1,IF(NOT(OR(ISBLANK('Personnel Yr 1'!B49),'Personnel Yr 1'!B49="")),'Personnel Yr 1'!B49,""),"")</f>
        <v/>
      </c>
      <c r="C49" s="22" t="str">
        <f>IF('Personnel Yr 1'!$J$5&gt;1,IF(ISBLANK('Personnel Yr 1'!C49),"",'Personnel Yr 1'!C49),"")</f>
        <v/>
      </c>
      <c r="D49" s="22" t="str">
        <f>IF('Personnel Yr 1'!$J$5&gt;1,IF(ISBLANK('Personnel Yr 1'!D49),"",'Personnel Yr 1'!D49),"")</f>
        <v/>
      </c>
      <c r="E49" s="22" t="str">
        <f>IF('Personnel Yr 1'!$J$5&gt;1,IF(ISBLANK('Personnel Yr 1'!E49),"",'Personnel Yr 1'!E49),"")</f>
        <v/>
      </c>
      <c r="F49" s="22" t="str">
        <f>IF('Personnel Yr 1'!$J$5&gt;1,IF(ISBLANK('Personnel Yr 1'!F49),"",'Personnel Yr 1'!F49),"")</f>
        <v/>
      </c>
      <c r="G49" s="22" t="str">
        <f>IF('Personnel Yr 1'!$J$5&gt;1,IF(ISBLANK('Personnel Yr 1'!G49),"",'Personnel Yr 1'!G49),"")</f>
        <v/>
      </c>
      <c r="H49" s="42" t="str">
        <f>IF('Personnel Yr 1'!$J$5&gt;1,IF(NOT(ISBLANK('Personnel Yr 1'!H49)),(('Personnel Yr 1'!H49*'Personnel Yr 1'!$D$5)+'Personnel Yr 1'!H49),""),"")</f>
        <v/>
      </c>
      <c r="I49" s="22" t="str">
        <f>IF('Personnel Yr 1'!$J$5&gt;1,IF(AND(OR(ISBLANK($H49),$H49=""),ISBLANK('Personnel Yr 1'!I49)),"",'Personnel Yr 1'!I49),"")</f>
        <v/>
      </c>
      <c r="J49" s="22" t="str">
        <f>IF('Personnel Yr 1'!$J$5&gt;1,IF(AND(OR(ISBLANK($H49),$H49=""),ISBLANK('Personnel Yr 1'!J49)),"",'Personnel Yr 1'!J49),"")</f>
        <v/>
      </c>
      <c r="K49" s="22" t="str">
        <f>IF('Personnel Yr 1'!$J$5&gt;1,IF(AND(OR(ISBLANK($H49),$H49=""),ISBLANK('Personnel Yr 1'!K49)),"",'Personnel Yr 1'!K49),"")</f>
        <v/>
      </c>
      <c r="L49" s="44" t="str">
        <f>IF('Personnel Yr 1'!$J$5&gt;1,IF(NOT(OR(ISBLANK(H49),H49="")), IF(OR(AND(ISBLANK(I49),ISBLANK(J49),ISBLANK(K49)),AND(I49="",J49="",K49="")),0, IF((AND((I49&gt;0),((J49+K49)&gt;0))),"Error", IF((I49&gt;0),ROUND((IF(AND('Personnel Yr 1'!$O$5&gt;0,H49&gt;'Personnel Yr 1'!$O$5),'Personnel Yr 1'!$O$5,H49)*(I49/12)),2),ROUND((IF(AND('Personnel Yr 1'!$O$5&gt;0,H49&gt;'Personnel Yr 1'!$O$5),'Personnel Yr 1'!$O$5,H49)*((J49+K49)/8.5)),2)))),""),"")</f>
        <v/>
      </c>
      <c r="M49" s="44" t="str">
        <f>IF('Personnel Yr 1'!$J$5&gt;1,IF(OR(ISBLANK(L49),L49=""),"",ROUND(SUM(T49:V49),2)),"")</f>
        <v/>
      </c>
      <c r="N49" s="51" t="str">
        <f>IF('Personnel Yr 1'!$J$5&gt;1,IF(OR(ISBLANK(M49),M49=""),"",ROUND(SUM(L49:M49),2)),"")</f>
        <v/>
      </c>
      <c r="O49" s="157"/>
      <c r="P49" s="347" t="str">
        <f>IF('Personnel Yr 1'!$J$5&gt;1,IF(NOT(OR(ISBLANK(I49),I49="")),(H49/12)*I49,""),0)</f>
        <v/>
      </c>
      <c r="Q49" s="347" t="str">
        <f>IF('Personnel Yr 1'!$J$5&gt;1,IF(NOT(OR(ISBLANK(J49),J49="")),(H49/8.5)*J49,""),0)</f>
        <v/>
      </c>
      <c r="R49" s="347" t="str">
        <f>IF('Personnel Yr 1'!$J$5&gt;1,IF(NOT(OR(ISBLANK(K49),K49="")),(H49/8.5)*K49,""),0)</f>
        <v/>
      </c>
      <c r="S49" s="347"/>
      <c r="T49" s="347">
        <f t="shared" si="2"/>
        <v>0</v>
      </c>
      <c r="U49" s="347">
        <f t="shared" si="3"/>
        <v>0</v>
      </c>
      <c r="V49" s="347">
        <f t="shared" si="4"/>
        <v>0</v>
      </c>
      <c r="Y49" s="336" t="b">
        <f>IF('Personnel Yr 1'!$J$5&gt;1,IF(OR($N$5&lt;&gt;"Federal - NIH",OR(AND(ISBLANK(I49),ISBLANK(J49),ISBLANK(K49)),AND(I49="",J49="",K49=""))),FALSE,IF(I49&gt;0,H49&gt;NIHSalaryCap,H49&gt;(NIHSalaryCap*8.5)/12)),FALSE)</f>
        <v>0</v>
      </c>
    </row>
    <row r="50" spans="1:25" hidden="1" x14ac:dyDescent="0.2">
      <c r="A50" s="5">
        <v>7</v>
      </c>
      <c r="B50" s="6" t="str">
        <f>IF('Personnel Yr 1'!$J$5&gt;1,IF(NOT(OR(ISBLANK('Personnel Yr 1'!B50),'Personnel Yr 1'!B50="")),'Personnel Yr 1'!B50,""),"")</f>
        <v/>
      </c>
      <c r="C50" s="22" t="str">
        <f>IF('Personnel Yr 1'!$J$5&gt;1,IF(ISBLANK('Personnel Yr 1'!C50),"",'Personnel Yr 1'!C50),"")</f>
        <v/>
      </c>
      <c r="D50" s="22" t="str">
        <f>IF('Personnel Yr 1'!$J$5&gt;1,IF(ISBLANK('Personnel Yr 1'!D50),"",'Personnel Yr 1'!D50),"")</f>
        <v/>
      </c>
      <c r="E50" s="22" t="str">
        <f>IF('Personnel Yr 1'!$J$5&gt;1,IF(ISBLANK('Personnel Yr 1'!E50),"",'Personnel Yr 1'!E50),"")</f>
        <v/>
      </c>
      <c r="F50" s="22" t="str">
        <f>IF('Personnel Yr 1'!$J$5&gt;1,IF(ISBLANK('Personnel Yr 1'!F50),"",'Personnel Yr 1'!F50),"")</f>
        <v/>
      </c>
      <c r="G50" s="22" t="str">
        <f>IF('Personnel Yr 1'!$J$5&gt;1,IF(ISBLANK('Personnel Yr 1'!G50),"",'Personnel Yr 1'!G50),"")</f>
        <v/>
      </c>
      <c r="H50" s="42" t="str">
        <f>IF('Personnel Yr 1'!$J$5&gt;1,IF(NOT(ISBLANK('Personnel Yr 1'!H50)),(('Personnel Yr 1'!H50*'Personnel Yr 1'!$D$5)+'Personnel Yr 1'!H50),""),"")</f>
        <v/>
      </c>
      <c r="I50" s="22" t="str">
        <f>IF('Personnel Yr 1'!$J$5&gt;1,IF(AND(OR(ISBLANK($H50),$H50=""),ISBLANK('Personnel Yr 1'!I50)),"",'Personnel Yr 1'!I50),"")</f>
        <v/>
      </c>
      <c r="J50" s="22" t="str">
        <f>IF('Personnel Yr 1'!$J$5&gt;1,IF(AND(OR(ISBLANK($H50),$H50=""),ISBLANK('Personnel Yr 1'!J50)),"",'Personnel Yr 1'!J50),"")</f>
        <v/>
      </c>
      <c r="K50" s="22" t="str">
        <f>IF('Personnel Yr 1'!$J$5&gt;1,IF(AND(OR(ISBLANK($H50),$H50=""),ISBLANK('Personnel Yr 1'!K50)),"",'Personnel Yr 1'!K50),"")</f>
        <v/>
      </c>
      <c r="L50" s="44" t="str">
        <f>IF('Personnel Yr 1'!$J$5&gt;1,IF(NOT(OR(ISBLANK(H50),H50="")), IF(OR(AND(ISBLANK(I50),ISBLANK(J50),ISBLANK(K50)),AND(I50="",J50="",K50="")),0, IF((AND((I50&gt;0),((J50+K50)&gt;0))),"Error", IF((I50&gt;0),ROUND((IF(AND('Personnel Yr 1'!$O$5&gt;0,H50&gt;'Personnel Yr 1'!$O$5),'Personnel Yr 1'!$O$5,H50)*(I50/12)),2),ROUND((IF(AND('Personnel Yr 1'!$O$5&gt;0,H50&gt;'Personnel Yr 1'!$O$5),'Personnel Yr 1'!$O$5,H50)*((J50+K50)/8.5)),2)))),""),"")</f>
        <v/>
      </c>
      <c r="M50" s="44" t="str">
        <f>IF('Personnel Yr 1'!$J$5&gt;1,IF(OR(ISBLANK(L50),L50=""),"",ROUND(SUM(T50:V50),2)),"")</f>
        <v/>
      </c>
      <c r="N50" s="51" t="str">
        <f>IF('Personnel Yr 1'!$J$5&gt;1,IF(OR(ISBLANK(M50),M50=""),"",ROUND(SUM(L50:M50),2)),"")</f>
        <v/>
      </c>
      <c r="O50" s="159"/>
      <c r="P50" s="347" t="str">
        <f>IF('Personnel Yr 1'!$J$5&gt;1,IF(NOT(OR(ISBLANK(I50),I50="")),(H50/12)*I50,""),0)</f>
        <v/>
      </c>
      <c r="Q50" s="347" t="str">
        <f>IF('Personnel Yr 1'!$J$5&gt;1,IF(NOT(OR(ISBLANK(J50),J50="")),(H50/8.5)*J50,""),0)</f>
        <v/>
      </c>
      <c r="R50" s="347" t="str">
        <f>IF('Personnel Yr 1'!$J$5&gt;1,IF(NOT(OR(ISBLANK(K50),K50="")),(H50/8.5)*K50,""),0)</f>
        <v/>
      </c>
      <c r="S50" s="347"/>
      <c r="T50" s="347">
        <f t="shared" si="2"/>
        <v>0</v>
      </c>
      <c r="U50" s="347">
        <f t="shared" si="3"/>
        <v>0</v>
      </c>
      <c r="V50" s="347">
        <f t="shared" si="4"/>
        <v>0</v>
      </c>
      <c r="Y50" s="336" t="b">
        <f>IF('Personnel Yr 1'!$J$5&gt;1,IF(OR($N$5&lt;&gt;"Federal - NIH",OR(AND(ISBLANK(I50),ISBLANK(J50),ISBLANK(K50)),AND(I50="",J50="",K50=""))),FALSE,IF(I50&gt;0,H50&gt;NIHSalaryCap,H50&gt;(NIHSalaryCap*8.5)/12)),FALSE)</f>
        <v>0</v>
      </c>
    </row>
    <row r="51" spans="1:25" hidden="1" x14ac:dyDescent="0.2">
      <c r="A51" s="5">
        <v>8</v>
      </c>
      <c r="B51" s="75" t="str">
        <f>IF('Personnel Yr 1'!$J$5&gt;1,IF(NOT(OR(ISBLANK('Personnel Yr 1'!B51),'Personnel Yr 1'!B51="")),'Personnel Yr 1'!B51,""),"")</f>
        <v/>
      </c>
      <c r="C51" s="69" t="str">
        <f>IF('Personnel Yr 1'!$J$5&gt;1,IF(ISBLANK('Personnel Yr 1'!C51),"",'Personnel Yr 1'!C51),"")</f>
        <v/>
      </c>
      <c r="D51" s="69" t="str">
        <f>IF('Personnel Yr 1'!$J$5&gt;1,IF(ISBLANK('Personnel Yr 1'!D51),"",'Personnel Yr 1'!D51),"")</f>
        <v/>
      </c>
      <c r="E51" s="69" t="str">
        <f>IF('Personnel Yr 1'!$J$5&gt;1,IF(ISBLANK('Personnel Yr 1'!E51),"",'Personnel Yr 1'!E51),"")</f>
        <v/>
      </c>
      <c r="F51" s="69" t="str">
        <f>IF('Personnel Yr 1'!$J$5&gt;1,IF(ISBLANK('Personnel Yr 1'!F51),"",'Personnel Yr 1'!F51),"")</f>
        <v/>
      </c>
      <c r="G51" s="69" t="str">
        <f>IF('Personnel Yr 1'!$J$5&gt;1,IF(ISBLANK('Personnel Yr 1'!G51),"",'Personnel Yr 1'!G51),"")</f>
        <v/>
      </c>
      <c r="H51" s="42" t="str">
        <f>IF('Personnel Yr 1'!$J$5&gt;1,IF(NOT(ISBLANK('Personnel Yr 1'!H51)),(('Personnel Yr 1'!H51*'Personnel Yr 1'!$D$5)+'Personnel Yr 1'!H51),""),"")</f>
        <v/>
      </c>
      <c r="I51" s="22" t="str">
        <f>IF('Personnel Yr 1'!$J$5&gt;1,IF(AND(OR(ISBLANK($H51),$H51=""),ISBLANK('Personnel Yr 1'!I51)),"",'Personnel Yr 1'!I51),"")</f>
        <v/>
      </c>
      <c r="J51" s="22" t="str">
        <f>IF('Personnel Yr 1'!$J$5&gt;1,IF(AND(OR(ISBLANK($H51),$H51=""),ISBLANK('Personnel Yr 1'!J51)),"",'Personnel Yr 1'!J51),"")</f>
        <v/>
      </c>
      <c r="K51" s="22" t="str">
        <f>IF('Personnel Yr 1'!$J$5&gt;1,IF(AND(OR(ISBLANK($H51),$H51=""),ISBLANK('Personnel Yr 1'!K51)),"",'Personnel Yr 1'!K51),"")</f>
        <v/>
      </c>
      <c r="L51" s="155" t="str">
        <f>IF('Personnel Yr 1'!$J$5&gt;1,IF(NOT(OR(ISBLANK(H51),H51="")), IF(OR(AND(ISBLANK(I51),ISBLANK(J51),ISBLANK(K51)),AND(I51="",J51="",K51="")),0, IF((AND((I51&gt;0),((J51+K51)&gt;0))),"Error", IF((I51&gt;0),ROUND((IF(AND('Personnel Yr 1'!$O$5&gt;0,H51&gt;'Personnel Yr 1'!$O$5),'Personnel Yr 1'!$O$5,H51)*(I51/12)),2),ROUND((IF(AND('Personnel Yr 1'!$O$5&gt;0,H51&gt;'Personnel Yr 1'!$O$5),'Personnel Yr 1'!$O$5,H51)*((J51+K51)/8.5)),2)))),""),"")</f>
        <v/>
      </c>
      <c r="M51" s="49" t="str">
        <f>IF('Personnel Yr 1'!$J$5&gt;1,IF(OR(ISBLANK(L51),L51=""),"",ROUND(SUM(T51:V51),2)),"")</f>
        <v/>
      </c>
      <c r="N51" s="50" t="str">
        <f>IF('Personnel Yr 1'!$J$5&gt;1,IF(OR(ISBLANK(M51),M51=""),"",ROUND(SUM(L51:M51),2)),"")</f>
        <v/>
      </c>
      <c r="O51" s="182"/>
      <c r="P51" s="347" t="str">
        <f>IF('Personnel Yr 1'!$J$5&gt;1,IF(NOT(OR(ISBLANK(I51),I51="")),(H51/12)*I51,""),0)</f>
        <v/>
      </c>
      <c r="Q51" s="347" t="str">
        <f>IF('Personnel Yr 1'!$J$5&gt;1,IF(NOT(OR(ISBLANK(J51),J51="")),(H51/8.5)*J51,""),0)</f>
        <v/>
      </c>
      <c r="R51" s="347" t="str">
        <f>IF('Personnel Yr 1'!$J$5&gt;1,IF(NOT(OR(ISBLANK(K51),K51="")),(H51/8.5)*K51,""),0)</f>
        <v/>
      </c>
      <c r="S51" s="347"/>
      <c r="T51" s="347">
        <f t="shared" si="2"/>
        <v>0</v>
      </c>
      <c r="U51" s="347">
        <f t="shared" si="3"/>
        <v>0</v>
      </c>
      <c r="V51" s="347">
        <f t="shared" si="4"/>
        <v>0</v>
      </c>
      <c r="Y51" s="336" t="b">
        <f>IF('Personnel Yr 1'!$J$5&gt;1,IF(OR($N$5&lt;&gt;"Federal - NIH",OR(AND(ISBLANK(I51),ISBLANK(J51),ISBLANK(K51)),AND(I51="",J51="",K51=""))),FALSE,IF(I51&gt;0,H51&gt;NIHSalaryCap,H51&gt;(NIHSalaryCap*8.5)/12)),FALSE)</f>
        <v>0</v>
      </c>
    </row>
    <row r="52" spans="1:25" hidden="1" x14ac:dyDescent="0.2">
      <c r="A52" s="5">
        <v>9</v>
      </c>
      <c r="B52" s="6" t="str">
        <f>IF('Personnel Yr 1'!$J$5&gt;1,IF(NOT(OR(ISBLANK('Personnel Yr 1'!B52),'Personnel Yr 1'!B52="")),'Personnel Yr 1'!B52,""),"")</f>
        <v/>
      </c>
      <c r="C52" s="22" t="str">
        <f>IF('Personnel Yr 1'!$J$5&gt;1,IF(ISBLANK('Personnel Yr 1'!C52),"",'Personnel Yr 1'!C52),"")</f>
        <v/>
      </c>
      <c r="D52" s="22" t="str">
        <f>IF('Personnel Yr 1'!$J$5&gt;1,IF(ISBLANK('Personnel Yr 1'!D52),"",'Personnel Yr 1'!D52),"")</f>
        <v/>
      </c>
      <c r="E52" s="22" t="str">
        <f>IF('Personnel Yr 1'!$J$5&gt;1,IF(ISBLANK('Personnel Yr 1'!E52),"",'Personnel Yr 1'!E52),"")</f>
        <v/>
      </c>
      <c r="F52" s="22" t="str">
        <f>IF('Personnel Yr 1'!$J$5&gt;1,IF(ISBLANK('Personnel Yr 1'!F52),"",'Personnel Yr 1'!F52),"")</f>
        <v/>
      </c>
      <c r="G52" s="71" t="str">
        <f>IF('Personnel Yr 1'!$J$5&gt;1,IF(ISBLANK('Personnel Yr 1'!G52),"",'Personnel Yr 1'!G52),"")</f>
        <v/>
      </c>
      <c r="H52" s="42" t="str">
        <f>IF('Personnel Yr 1'!$J$5&gt;1,IF(NOT(ISBLANK('Personnel Yr 1'!H52)),(('Personnel Yr 1'!H52*'Personnel Yr 1'!$D$5)+'Personnel Yr 1'!H52),""),"")</f>
        <v/>
      </c>
      <c r="I52" s="22" t="str">
        <f>IF('Personnel Yr 1'!$J$5&gt;1,IF(AND(OR(ISBLANK($H52),$H52=""),ISBLANK('Personnel Yr 1'!I52)),"",'Personnel Yr 1'!I52),"")</f>
        <v/>
      </c>
      <c r="J52" s="22" t="str">
        <f>IF('Personnel Yr 1'!$J$5&gt;1,IF(AND(OR(ISBLANK($H52),$H52=""),ISBLANK('Personnel Yr 1'!J52)),"",'Personnel Yr 1'!J52),"")</f>
        <v/>
      </c>
      <c r="K52" s="22" t="str">
        <f>IF('Personnel Yr 1'!$J$5&gt;1,IF(AND(OR(ISBLANK($H52),$H52=""),ISBLANK('Personnel Yr 1'!K52)),"",'Personnel Yr 1'!K52),"")</f>
        <v/>
      </c>
      <c r="L52" s="156" t="str">
        <f>IF('Personnel Yr 1'!$J$5&gt;1,IF(NOT(OR(ISBLANK(H52),H52="")), IF(OR(AND(ISBLANK(I52),ISBLANK(J52),ISBLANK(K52)),AND(I52="",J52="",K52="")),0, IF((AND((I52&gt;0),((J52+K52)&gt;0))),"Error", IF((I52&gt;0),ROUND((IF(AND('Personnel Yr 1'!$O$5&gt;0,H52&gt;'Personnel Yr 1'!$O$5),'Personnel Yr 1'!$O$5,H52)*(I52/12)),2),ROUND((IF(AND('Personnel Yr 1'!$O$5&gt;0,H52&gt;'Personnel Yr 1'!$O$5),'Personnel Yr 1'!$O$5,H52)*((J52+K52)/8.5)),2)))),""),"")</f>
        <v/>
      </c>
      <c r="M52" s="44" t="str">
        <f>IF('Personnel Yr 1'!$J$5&gt;1,IF(OR(ISBLANK(L52),L52=""),"",ROUND(SUM(T52:V52),2)),"")</f>
        <v/>
      </c>
      <c r="N52" s="51" t="str">
        <f>IF('Personnel Yr 1'!$J$5&gt;1,IF(OR(ISBLANK(M52),M52=""),"",ROUND(SUM(L52:M52),2)),"")</f>
        <v/>
      </c>
      <c r="O52" s="159"/>
      <c r="P52" s="347" t="str">
        <f>IF('Personnel Yr 1'!$J$5&gt;1,IF(NOT(OR(ISBLANK(I52),I52="")),(H52/12)*I52,""),0)</f>
        <v/>
      </c>
      <c r="Q52" s="347" t="str">
        <f>IF('Personnel Yr 1'!$J$5&gt;1,IF(NOT(OR(ISBLANK(J52),J52="")),(H52/8.5)*J52,""),0)</f>
        <v/>
      </c>
      <c r="R52" s="347" t="str">
        <f>IF('Personnel Yr 1'!$J$5&gt;1,IF(NOT(OR(ISBLANK(K52),K52="")),(H52/8.5)*K52,""),0)</f>
        <v/>
      </c>
      <c r="S52" s="347"/>
      <c r="T52" s="347">
        <f t="shared" ref="T52:T58" si="5">IF(OR(ISBLANK(P52),P52=""),0,P52*LOOKUP("Full",Ben,Per))</f>
        <v>0</v>
      </c>
      <c r="U52" s="347">
        <f t="shared" ref="U52:U58" si="6">IF(OR(ISBLANK(Q52),Q52=""),0,Q52*LOOKUP("Full",Ben,Per))</f>
        <v>0</v>
      </c>
      <c r="V52" s="347">
        <f t="shared" ref="V52:V58" si="7">IF(OR(ISBLANK(R52),R52=""),0,R52*LOOKUP("Summer",Ben,Per))</f>
        <v>0</v>
      </c>
      <c r="Y52" s="336" t="b">
        <f>IF('Personnel Yr 1'!$J$5&gt;1,IF(OR($N$5&lt;&gt;"Federal - NIH",OR(AND(ISBLANK(I52),ISBLANK(J52),ISBLANK(K52)),AND(I52="",J52="",K52=""))),FALSE,IF(I52&gt;0,H52&gt;NIHSalaryCap,H52&gt;(NIHSalaryCap*8.5)/12)),FALSE)</f>
        <v>0</v>
      </c>
    </row>
    <row r="53" spans="1:25" hidden="1" x14ac:dyDescent="0.2">
      <c r="A53" s="5">
        <v>10</v>
      </c>
      <c r="B53" s="6" t="str">
        <f>IF('Personnel Yr 1'!$J$5&gt;1,IF(NOT(OR(ISBLANK('Personnel Yr 1'!B53),'Personnel Yr 1'!B53="")),'Personnel Yr 1'!B53,""),"")</f>
        <v/>
      </c>
      <c r="C53" s="22" t="str">
        <f>IF('Personnel Yr 1'!$J$5&gt;1,IF(ISBLANK('Personnel Yr 1'!C53),"",'Personnel Yr 1'!C53),"")</f>
        <v/>
      </c>
      <c r="D53" s="22" t="str">
        <f>IF('Personnel Yr 1'!$J$5&gt;1,IF(ISBLANK('Personnel Yr 1'!D53),"",'Personnel Yr 1'!D53),"")</f>
        <v/>
      </c>
      <c r="E53" s="22" t="str">
        <f>IF('Personnel Yr 1'!$J$5&gt;1,IF(ISBLANK('Personnel Yr 1'!E53),"",'Personnel Yr 1'!E53),"")</f>
        <v/>
      </c>
      <c r="F53" s="22" t="str">
        <f>IF('Personnel Yr 1'!$J$5&gt;1,IF(ISBLANK('Personnel Yr 1'!F53),"",'Personnel Yr 1'!F53),"")</f>
        <v/>
      </c>
      <c r="G53" s="22" t="str">
        <f>IF('Personnel Yr 1'!$J$5&gt;1,IF(ISBLANK('Personnel Yr 1'!G53),"",'Personnel Yr 1'!G53),"")</f>
        <v/>
      </c>
      <c r="H53" s="42" t="str">
        <f>IF('Personnel Yr 1'!$J$5&gt;1,IF(NOT(ISBLANK('Personnel Yr 1'!H53)),(('Personnel Yr 1'!H53*'Personnel Yr 1'!$D$5)+'Personnel Yr 1'!H53),""),"")</f>
        <v/>
      </c>
      <c r="I53" s="22" t="str">
        <f>IF('Personnel Yr 1'!$J$5&gt;1,IF(AND(OR(ISBLANK($H53),$H53=""),ISBLANK('Personnel Yr 1'!I53)),"",'Personnel Yr 1'!I53),"")</f>
        <v/>
      </c>
      <c r="J53" s="22" t="str">
        <f>IF('Personnel Yr 1'!$J$5&gt;1,IF(AND(OR(ISBLANK($H53),$H53=""),ISBLANK('Personnel Yr 1'!J53)),"",'Personnel Yr 1'!J53),"")</f>
        <v/>
      </c>
      <c r="K53" s="22" t="str">
        <f>IF('Personnel Yr 1'!$J$5&gt;1,IF(AND(OR(ISBLANK($H53),$H53=""),ISBLANK('Personnel Yr 1'!K53)),"",'Personnel Yr 1'!K53),"")</f>
        <v/>
      </c>
      <c r="L53" s="156" t="str">
        <f>IF('Personnel Yr 1'!$J$5&gt;1,IF(NOT(OR(ISBLANK(H53),H53="")), IF(OR(AND(ISBLANK(I53),ISBLANK(J53),ISBLANK(K53)),AND(I53="",J53="",K53="")),0, IF((AND((I53&gt;0),((J53+K53)&gt;0))),"Error", IF((I53&gt;0),ROUND((IF(AND('Personnel Yr 1'!$O$5&gt;0,H53&gt;'Personnel Yr 1'!$O$5),'Personnel Yr 1'!$O$5,H53)*(I53/12)),2),ROUND((IF(AND('Personnel Yr 1'!$O$5&gt;0,H53&gt;'Personnel Yr 1'!$O$5),'Personnel Yr 1'!$O$5,H53)*((J53+K53)/8.5)),2)))),""),"")</f>
        <v/>
      </c>
      <c r="M53" s="44" t="str">
        <f>IF('Personnel Yr 1'!$J$5&gt;1,IF(OR(ISBLANK(L53),L53=""),"",ROUND(SUM(T53:V53),2)),"")</f>
        <v/>
      </c>
      <c r="N53" s="51" t="str">
        <f>IF('Personnel Yr 1'!$J$5&gt;1,IF(OR(ISBLANK(M53),M53=""),"",ROUND(SUM(L53:M53),2)),"")</f>
        <v/>
      </c>
      <c r="O53" s="159"/>
      <c r="P53" s="347" t="str">
        <f>IF('Personnel Yr 1'!$J$5&gt;1,IF(NOT(OR(ISBLANK(I53),I53="")),(H53/12)*I53,""),0)</f>
        <v/>
      </c>
      <c r="Q53" s="347" t="str">
        <f>IF('Personnel Yr 1'!$J$5&gt;1,IF(NOT(OR(ISBLANK(J53),J53="")),(H53/8.5)*J53,""),0)</f>
        <v/>
      </c>
      <c r="R53" s="347" t="str">
        <f>IF('Personnel Yr 1'!$J$5&gt;1,IF(NOT(OR(ISBLANK(K53),K53="")),(H53/8.5)*K53,""),0)</f>
        <v/>
      </c>
      <c r="S53" s="347"/>
      <c r="T53" s="347">
        <f t="shared" si="5"/>
        <v>0</v>
      </c>
      <c r="U53" s="347">
        <f t="shared" si="6"/>
        <v>0</v>
      </c>
      <c r="V53" s="347">
        <f t="shared" si="7"/>
        <v>0</v>
      </c>
      <c r="Y53" s="336" t="b">
        <f>IF('Personnel Yr 1'!$J$5&gt;1,IF(OR($N$5&lt;&gt;"Federal - NIH",OR(AND(ISBLANK(I53),ISBLANK(J53),ISBLANK(K53)),AND(I53="",J53="",K53=""))),FALSE,IF(I53&gt;0,H53&gt;NIHSalaryCap,H53&gt;(NIHSalaryCap*8.5)/12)),FALSE)</f>
        <v>0</v>
      </c>
    </row>
    <row r="54" spans="1:25" hidden="1" x14ac:dyDescent="0.2">
      <c r="A54" s="5">
        <v>11</v>
      </c>
      <c r="B54" s="6" t="str">
        <f>IF('Personnel Yr 1'!$J$5&gt;1,IF(NOT(OR(ISBLANK('Personnel Yr 1'!B54),'Personnel Yr 1'!B54="")),'Personnel Yr 1'!B54,""),"")</f>
        <v/>
      </c>
      <c r="C54" s="22" t="str">
        <f>IF('Personnel Yr 1'!$J$5&gt;1,IF(ISBLANK('Personnel Yr 1'!C54),"",'Personnel Yr 1'!C54),"")</f>
        <v/>
      </c>
      <c r="D54" s="22" t="str">
        <f>IF('Personnel Yr 1'!$J$5&gt;1,IF(ISBLANK('Personnel Yr 1'!D54),"",'Personnel Yr 1'!D54),"")</f>
        <v/>
      </c>
      <c r="E54" s="22" t="str">
        <f>IF('Personnel Yr 1'!$J$5&gt;1,IF(ISBLANK('Personnel Yr 1'!E54),"",'Personnel Yr 1'!E54),"")</f>
        <v/>
      </c>
      <c r="F54" s="22" t="str">
        <f>IF('Personnel Yr 1'!$J$5&gt;1,IF(ISBLANK('Personnel Yr 1'!F54),"",'Personnel Yr 1'!F54),"")</f>
        <v/>
      </c>
      <c r="G54" s="22" t="str">
        <f>IF('Personnel Yr 1'!$J$5&gt;1,IF(ISBLANK('Personnel Yr 1'!G54),"",'Personnel Yr 1'!G54),"")</f>
        <v/>
      </c>
      <c r="H54" s="42" t="str">
        <f>IF('Personnel Yr 1'!$J$5&gt;1,IF(NOT(ISBLANK('Personnel Yr 1'!H54)),(('Personnel Yr 1'!H54*'Personnel Yr 1'!$D$5)+'Personnel Yr 1'!H54),""),"")</f>
        <v/>
      </c>
      <c r="I54" s="22" t="str">
        <f>IF('Personnel Yr 1'!$J$5&gt;1,IF(AND(OR(ISBLANK($H54),$H54=""),ISBLANK('Personnel Yr 1'!I54)),"",'Personnel Yr 1'!I54),"")</f>
        <v/>
      </c>
      <c r="J54" s="22" t="str">
        <f>IF('Personnel Yr 1'!$J$5&gt;1,IF(AND(OR(ISBLANK($H54),$H54=""),ISBLANK('Personnel Yr 1'!J54)),"",'Personnel Yr 1'!J54),"")</f>
        <v/>
      </c>
      <c r="K54" s="22" t="str">
        <f>IF('Personnel Yr 1'!$J$5&gt;1,IF(AND(OR(ISBLANK($H54),$H54=""),ISBLANK('Personnel Yr 1'!K54)),"",'Personnel Yr 1'!K54),"")</f>
        <v/>
      </c>
      <c r="L54" s="44" t="str">
        <f>IF('Personnel Yr 1'!$J$5&gt;1,IF(NOT(OR(ISBLANK(H54),H54="")), IF(OR(AND(ISBLANK(I54),ISBLANK(J54),ISBLANK(K54)),AND(I54="",J54="",K54="")),0, IF((AND((I54&gt;0),((J54+K54)&gt;0))),"Error", IF((I54&gt;0),ROUND((IF(AND('Personnel Yr 1'!$O$5&gt;0,H54&gt;'Personnel Yr 1'!$O$5),'Personnel Yr 1'!$O$5,H54)*(I54/12)),2),ROUND((IF(AND('Personnel Yr 1'!$O$5&gt;0,H54&gt;'Personnel Yr 1'!$O$5),'Personnel Yr 1'!$O$5,H54)*((J54+K54)/8.5)),2)))),""),"")</f>
        <v/>
      </c>
      <c r="M54" s="44" t="str">
        <f>IF('Personnel Yr 1'!$J$5&gt;1,IF(OR(ISBLANK(L54),L54=""),"",ROUND(SUM(T54:V54),2)),"")</f>
        <v/>
      </c>
      <c r="N54" s="51" t="str">
        <f>IF('Personnel Yr 1'!$J$5&gt;1,IF(OR(ISBLANK(M54),M54=""),"",ROUND(SUM(L54:M54),2)),"")</f>
        <v/>
      </c>
      <c r="O54" s="157"/>
      <c r="P54" s="347" t="str">
        <f>IF('Personnel Yr 1'!$J$5&gt;1,IF(NOT(OR(ISBLANK(I54),I54="")),(H54/12)*I54,""),0)</f>
        <v/>
      </c>
      <c r="Q54" s="347" t="str">
        <f>IF('Personnel Yr 1'!$J$5&gt;1,IF(NOT(OR(ISBLANK(J54),J54="")),(H54/8.5)*J54,""),0)</f>
        <v/>
      </c>
      <c r="R54" s="347" t="str">
        <f>IF('Personnel Yr 1'!$J$5&gt;1,IF(NOT(OR(ISBLANK(K54),K54="")),(H54/8.5)*K54,""),0)</f>
        <v/>
      </c>
      <c r="S54" s="347"/>
      <c r="T54" s="347">
        <f t="shared" si="5"/>
        <v>0</v>
      </c>
      <c r="U54" s="347">
        <f t="shared" si="6"/>
        <v>0</v>
      </c>
      <c r="V54" s="347">
        <f t="shared" si="7"/>
        <v>0</v>
      </c>
      <c r="Y54" s="336" t="b">
        <f>IF('Personnel Yr 1'!$J$5&gt;1,IF(OR($N$5&lt;&gt;"Federal - NIH",OR(AND(ISBLANK(I54),ISBLANK(J54),ISBLANK(K54)),AND(I54="",J54="",K54=""))),FALSE,IF(I54&gt;0,H54&gt;NIHSalaryCap,H54&gt;(NIHSalaryCap*8.5)/12)),FALSE)</f>
        <v>0</v>
      </c>
    </row>
    <row r="55" spans="1:25" hidden="1" x14ac:dyDescent="0.2">
      <c r="A55" s="5">
        <v>12</v>
      </c>
      <c r="B55" s="6" t="str">
        <f>IF('Personnel Yr 1'!$J$5&gt;1,IF(NOT(OR(ISBLANK('Personnel Yr 1'!B55),'Personnel Yr 1'!B55="")),'Personnel Yr 1'!B55,""),"")</f>
        <v/>
      </c>
      <c r="C55" s="22" t="str">
        <f>IF('Personnel Yr 1'!$J$5&gt;1,IF(ISBLANK('Personnel Yr 1'!C55),"",'Personnel Yr 1'!C55),"")</f>
        <v/>
      </c>
      <c r="D55" s="22" t="str">
        <f>IF('Personnel Yr 1'!$J$5&gt;1,IF(ISBLANK('Personnel Yr 1'!D55),"",'Personnel Yr 1'!D55),"")</f>
        <v/>
      </c>
      <c r="E55" s="22" t="str">
        <f>IF('Personnel Yr 1'!$J$5&gt;1,IF(ISBLANK('Personnel Yr 1'!E55),"",'Personnel Yr 1'!E55),"")</f>
        <v/>
      </c>
      <c r="F55" s="22" t="str">
        <f>IF('Personnel Yr 1'!$J$5&gt;1,IF(ISBLANK('Personnel Yr 1'!F55),"",'Personnel Yr 1'!F55),"")</f>
        <v/>
      </c>
      <c r="G55" s="22" t="str">
        <f>IF('Personnel Yr 1'!$J$5&gt;1,IF(ISBLANK('Personnel Yr 1'!G55),"",'Personnel Yr 1'!G55),"")</f>
        <v/>
      </c>
      <c r="H55" s="42" t="str">
        <f>IF('Personnel Yr 1'!$J$5&gt;1,IF(NOT(ISBLANK('Personnel Yr 1'!H55)),(('Personnel Yr 1'!H55*'Personnel Yr 1'!$D$5)+'Personnel Yr 1'!H55),""),"")</f>
        <v/>
      </c>
      <c r="I55" s="22" t="str">
        <f>IF('Personnel Yr 1'!$J$5&gt;1,IF(AND(OR(ISBLANK($H55),$H55=""),ISBLANK('Personnel Yr 1'!I55)),"",'Personnel Yr 1'!I55),"")</f>
        <v/>
      </c>
      <c r="J55" s="22" t="str">
        <f>IF('Personnel Yr 1'!$J$5&gt;1,IF(AND(OR(ISBLANK($H55),$H55=""),ISBLANK('Personnel Yr 1'!J55)),"",'Personnel Yr 1'!J55),"")</f>
        <v/>
      </c>
      <c r="K55" s="22" t="str">
        <f>IF('Personnel Yr 1'!$J$5&gt;1,IF(AND(OR(ISBLANK($H55),$H55=""),ISBLANK('Personnel Yr 1'!K55)),"",'Personnel Yr 1'!K55),"")</f>
        <v/>
      </c>
      <c r="L55" s="44" t="str">
        <f>IF('Personnel Yr 1'!$J$5&gt;1,IF(NOT(OR(ISBLANK(H55),H55="")), IF(OR(AND(ISBLANK(I55),ISBLANK(J55),ISBLANK(K55)),AND(I55="",J55="",K55="")),0, IF((AND((I55&gt;0),((J55+K55)&gt;0))),"Error", IF((I55&gt;0),ROUND((IF(AND('Personnel Yr 1'!$O$5&gt;0,H55&gt;'Personnel Yr 1'!$O$5),'Personnel Yr 1'!$O$5,H55)*(I55/12)),2),ROUND((IF(AND('Personnel Yr 1'!$O$5&gt;0,H55&gt;'Personnel Yr 1'!$O$5),'Personnel Yr 1'!$O$5,H55)*((J55+K55)/8.5)),2)))),""),"")</f>
        <v/>
      </c>
      <c r="M55" s="44" t="str">
        <f>IF('Personnel Yr 1'!$J$5&gt;1,IF(OR(ISBLANK(L55),L55=""),"",ROUND(SUM(T55:V55),2)),"")</f>
        <v/>
      </c>
      <c r="N55" s="51" t="str">
        <f>IF('Personnel Yr 1'!$J$5&gt;1,IF(OR(ISBLANK(M55),M55=""),"",ROUND(SUM(L55:M55),2)),"")</f>
        <v/>
      </c>
      <c r="O55" s="159"/>
      <c r="P55" s="347" t="str">
        <f>IF('Personnel Yr 1'!$J$5&gt;1,IF(NOT(OR(ISBLANK(I55),I55="")),(H55/12)*I55,""),0)</f>
        <v/>
      </c>
      <c r="Q55" s="347" t="str">
        <f>IF('Personnel Yr 1'!$J$5&gt;1,IF(NOT(OR(ISBLANK(J55),J55="")),(H55/8.5)*J55,""),0)</f>
        <v/>
      </c>
      <c r="R55" s="347" t="str">
        <f>IF('Personnel Yr 1'!$J$5&gt;1,IF(NOT(OR(ISBLANK(K55),K55="")),(H55/8.5)*K55,""),0)</f>
        <v/>
      </c>
      <c r="S55" s="347"/>
      <c r="T55" s="347">
        <f t="shared" si="5"/>
        <v>0</v>
      </c>
      <c r="U55" s="347">
        <f t="shared" si="6"/>
        <v>0</v>
      </c>
      <c r="V55" s="347">
        <f t="shared" si="7"/>
        <v>0</v>
      </c>
      <c r="Y55" s="336" t="b">
        <f>IF('Personnel Yr 1'!$J$5&gt;1,IF(OR($N$5&lt;&gt;"Federal - NIH",OR(AND(ISBLANK(I55),ISBLANK(J55),ISBLANK(K55)),AND(I55="",J55="",K55=""))),FALSE,IF(I55&gt;0,H55&gt;NIHSalaryCap,H55&gt;(NIHSalaryCap*8.5)/12)),FALSE)</f>
        <v>0</v>
      </c>
    </row>
    <row r="56" spans="1:25" hidden="1" x14ac:dyDescent="0.2">
      <c r="A56" s="5">
        <v>13</v>
      </c>
      <c r="B56" s="75" t="str">
        <f>IF('Personnel Yr 1'!$J$5&gt;1,IF(NOT(OR(ISBLANK('Personnel Yr 1'!B56),'Personnel Yr 1'!B56="")),'Personnel Yr 1'!B56,""),"")</f>
        <v/>
      </c>
      <c r="C56" s="69" t="str">
        <f>IF('Personnel Yr 1'!$J$5&gt;1,IF(ISBLANK('Personnel Yr 1'!C56),"",'Personnel Yr 1'!C56),"")</f>
        <v/>
      </c>
      <c r="D56" s="69" t="str">
        <f>IF('Personnel Yr 1'!$J$5&gt;1,IF(ISBLANK('Personnel Yr 1'!D56),"",'Personnel Yr 1'!D56),"")</f>
        <v/>
      </c>
      <c r="E56" s="69" t="str">
        <f>IF('Personnel Yr 1'!$J$5&gt;1,IF(ISBLANK('Personnel Yr 1'!E56),"",'Personnel Yr 1'!E56),"")</f>
        <v/>
      </c>
      <c r="F56" s="69" t="str">
        <f>IF('Personnel Yr 1'!$J$5&gt;1,IF(ISBLANK('Personnel Yr 1'!F56),"",'Personnel Yr 1'!F56),"")</f>
        <v/>
      </c>
      <c r="G56" s="69" t="str">
        <f>IF('Personnel Yr 1'!$J$5&gt;1,IF(ISBLANK('Personnel Yr 1'!G56),"",'Personnel Yr 1'!G56),"")</f>
        <v/>
      </c>
      <c r="H56" s="42" t="str">
        <f>IF('Personnel Yr 1'!$J$5&gt;1,IF(NOT(ISBLANK('Personnel Yr 1'!H56)),(('Personnel Yr 1'!H56*'Personnel Yr 1'!$D$5)+'Personnel Yr 1'!H56),""),"")</f>
        <v/>
      </c>
      <c r="I56" s="22" t="str">
        <f>IF('Personnel Yr 1'!$J$5&gt;1,IF(AND(OR(ISBLANK($H56),$H56=""),ISBLANK('Personnel Yr 1'!I56)),"",'Personnel Yr 1'!I56),"")</f>
        <v/>
      </c>
      <c r="J56" s="22" t="str">
        <f>IF('Personnel Yr 1'!$J$5&gt;1,IF(AND(OR(ISBLANK($H56),$H56=""),ISBLANK('Personnel Yr 1'!J56)),"",'Personnel Yr 1'!J56),"")</f>
        <v/>
      </c>
      <c r="K56" s="22" t="str">
        <f>IF('Personnel Yr 1'!$J$5&gt;1,IF(AND(OR(ISBLANK($H56),$H56=""),ISBLANK('Personnel Yr 1'!K56)),"",'Personnel Yr 1'!K56),"")</f>
        <v/>
      </c>
      <c r="L56" s="155" t="str">
        <f>IF('Personnel Yr 1'!$J$5&gt;1,IF(NOT(OR(ISBLANK(H56),H56="")), IF(OR(AND(ISBLANK(I56),ISBLANK(J56),ISBLANK(K56)),AND(I56="",J56="",K56="")),0, IF((AND((I56&gt;0),((J56+K56)&gt;0))),"Error", IF((I56&gt;0),ROUND((IF(AND('Personnel Yr 1'!$O$5&gt;0,H56&gt;'Personnel Yr 1'!$O$5),'Personnel Yr 1'!$O$5,H56)*(I56/12)),2),ROUND((IF(AND('Personnel Yr 1'!$O$5&gt;0,H56&gt;'Personnel Yr 1'!$O$5),'Personnel Yr 1'!$O$5,H56)*((J56+K56)/8.5)),2)))),""),"")</f>
        <v/>
      </c>
      <c r="M56" s="49" t="str">
        <f>IF('Personnel Yr 1'!$J$5&gt;1,IF(OR(ISBLANK(L56),L56=""),"",ROUND(SUM(T56:V56),2)),"")</f>
        <v/>
      </c>
      <c r="N56" s="50" t="str">
        <f>IF('Personnel Yr 1'!$J$5&gt;1,IF(OR(ISBLANK(M56),M56=""),"",ROUND(SUM(L56:M56),2)),"")</f>
        <v/>
      </c>
      <c r="O56" s="182"/>
      <c r="P56" s="347" t="str">
        <f>IF('Personnel Yr 1'!$J$5&gt;1,IF(NOT(OR(ISBLANK(I56),I56="")),(H56/12)*I56,""),0)</f>
        <v/>
      </c>
      <c r="Q56" s="347" t="str">
        <f>IF('Personnel Yr 1'!$J$5&gt;1,IF(NOT(OR(ISBLANK(J56),J56="")),(H56/8.5)*J56,""),0)</f>
        <v/>
      </c>
      <c r="R56" s="347" t="str">
        <f>IF('Personnel Yr 1'!$J$5&gt;1,IF(NOT(OR(ISBLANK(K56),K56="")),(H56/8.5)*K56,""),0)</f>
        <v/>
      </c>
      <c r="S56" s="347"/>
      <c r="T56" s="347">
        <f t="shared" si="5"/>
        <v>0</v>
      </c>
      <c r="U56" s="347">
        <f t="shared" si="6"/>
        <v>0</v>
      </c>
      <c r="V56" s="347">
        <f t="shared" si="7"/>
        <v>0</v>
      </c>
      <c r="Y56" s="336" t="b">
        <f>IF('Personnel Yr 1'!$J$5&gt;1,IF(OR($N$5&lt;&gt;"Federal - NIH",OR(AND(ISBLANK(I56),ISBLANK(J56),ISBLANK(K56)),AND(I56="",J56="",K56=""))),FALSE,IF(I56&gt;0,H56&gt;NIHSalaryCap,H56&gt;(NIHSalaryCap*8.5)/12)),FALSE)</f>
        <v>0</v>
      </c>
    </row>
    <row r="57" spans="1:25" hidden="1" x14ac:dyDescent="0.2">
      <c r="A57" s="5">
        <v>14</v>
      </c>
      <c r="B57" s="6" t="str">
        <f>IF('Personnel Yr 1'!$J$5&gt;1,IF(NOT(OR(ISBLANK('Personnel Yr 1'!B57),'Personnel Yr 1'!B57="")),'Personnel Yr 1'!B57,""),"")</f>
        <v/>
      </c>
      <c r="C57" s="22" t="str">
        <f>IF('Personnel Yr 1'!$J$5&gt;1,IF(ISBLANK('Personnel Yr 1'!C57),"",'Personnel Yr 1'!C57),"")</f>
        <v/>
      </c>
      <c r="D57" s="22" t="str">
        <f>IF('Personnel Yr 1'!$J$5&gt;1,IF(ISBLANK('Personnel Yr 1'!D57),"",'Personnel Yr 1'!D57),"")</f>
        <v/>
      </c>
      <c r="E57" s="22" t="str">
        <f>IF('Personnel Yr 1'!$J$5&gt;1,IF(ISBLANK('Personnel Yr 1'!E57),"",'Personnel Yr 1'!E57),"")</f>
        <v/>
      </c>
      <c r="F57" s="22" t="str">
        <f>IF('Personnel Yr 1'!$J$5&gt;1,IF(ISBLANK('Personnel Yr 1'!F57),"",'Personnel Yr 1'!F57),"")</f>
        <v/>
      </c>
      <c r="G57" s="22" t="str">
        <f>IF('Personnel Yr 1'!$J$5&gt;1,IF(ISBLANK('Personnel Yr 1'!G57),"",'Personnel Yr 1'!G57),"")</f>
        <v/>
      </c>
      <c r="H57" s="42" t="str">
        <f>IF('Personnel Yr 1'!$J$5&gt;1,IF(NOT(ISBLANK('Personnel Yr 1'!H57)),(('Personnel Yr 1'!H57*'Personnel Yr 1'!$D$5)+'Personnel Yr 1'!H57),""),"")</f>
        <v/>
      </c>
      <c r="I57" s="22" t="str">
        <f>IF('Personnel Yr 1'!$J$5&gt;1,IF(AND(OR(ISBLANK($H57),$H57=""),ISBLANK('Personnel Yr 1'!I57)),"",'Personnel Yr 1'!I57),"")</f>
        <v/>
      </c>
      <c r="J57" s="22" t="str">
        <f>IF('Personnel Yr 1'!$J$5&gt;1,IF(AND(OR(ISBLANK($H57),$H57=""),ISBLANK('Personnel Yr 1'!J57)),"",'Personnel Yr 1'!J57),"")</f>
        <v/>
      </c>
      <c r="K57" s="22" t="str">
        <f>IF('Personnel Yr 1'!$J$5&gt;1,IF(AND(OR(ISBLANK($H57),$H57=""),ISBLANK('Personnel Yr 1'!K57)),"",'Personnel Yr 1'!K57),"")</f>
        <v/>
      </c>
      <c r="L57" s="44" t="str">
        <f>IF('Personnel Yr 1'!$J$5&gt;1,IF(NOT(OR(ISBLANK(H57),H57="")), IF(OR(AND(ISBLANK(I57),ISBLANK(J57),ISBLANK(K57)),AND(I57="",J57="",K57="")),0, IF((AND((I57&gt;0),((J57+K57)&gt;0))),"Error", IF((I57&gt;0),ROUND((IF(AND('Personnel Yr 1'!$O$5&gt;0,H57&gt;'Personnel Yr 1'!$O$5),'Personnel Yr 1'!$O$5,H57)*(I57/12)),2),ROUND((IF(AND('Personnel Yr 1'!$O$5&gt;0,H57&gt;'Personnel Yr 1'!$O$5),'Personnel Yr 1'!$O$5,H57)*((J57+K57)/8.5)),2)))),""),"")</f>
        <v/>
      </c>
      <c r="M57" s="44" t="str">
        <f>IF('Personnel Yr 1'!$J$5&gt;1,IF(OR(ISBLANK(L57),L57=""),"",ROUND(SUM(T57:V57),2)),"")</f>
        <v/>
      </c>
      <c r="N57" s="51" t="str">
        <f>IF('Personnel Yr 1'!$J$5&gt;1,IF(OR(ISBLANK(M57),M57=""),"",ROUND(SUM(L57:M57),2)),"")</f>
        <v/>
      </c>
      <c r="O57" s="157"/>
      <c r="P57" s="347" t="str">
        <f>IF('Personnel Yr 1'!$J$5&gt;1,IF(NOT(OR(ISBLANK(I57),I57="")),(H57/12)*I57,""),0)</f>
        <v/>
      </c>
      <c r="Q57" s="347" t="str">
        <f>IF('Personnel Yr 1'!$J$5&gt;1,IF(NOT(OR(ISBLANK(J57),J57="")),(H57/8.5)*J57,""),0)</f>
        <v/>
      </c>
      <c r="R57" s="347" t="str">
        <f>IF('Personnel Yr 1'!$J$5&gt;1,IF(NOT(OR(ISBLANK(K57),K57="")),(H57/8.5)*K57,""),0)</f>
        <v/>
      </c>
      <c r="S57" s="347"/>
      <c r="T57" s="347">
        <f t="shared" si="5"/>
        <v>0</v>
      </c>
      <c r="U57" s="347">
        <f t="shared" si="6"/>
        <v>0</v>
      </c>
      <c r="V57" s="347">
        <f t="shared" si="7"/>
        <v>0</v>
      </c>
      <c r="Y57" s="336" t="b">
        <f>IF('Personnel Yr 1'!$J$5&gt;1,IF(OR($N$5&lt;&gt;"Federal - NIH",OR(AND(ISBLANK(I57),ISBLANK(J57),ISBLANK(K57)),AND(I57="",J57="",K57=""))),FALSE,IF(I57&gt;0,H57&gt;NIHSalaryCap,H57&gt;(NIHSalaryCap*8.5)/12)),FALSE)</f>
        <v>0</v>
      </c>
    </row>
    <row r="58" spans="1:25" ht="13.5" hidden="1" thickBot="1" x14ac:dyDescent="0.25">
      <c r="A58" s="5">
        <v>15</v>
      </c>
      <c r="B58" s="175" t="str">
        <f>IF('Personnel Yr 1'!$J$5&gt;1,IF(NOT(OR(ISBLANK('Personnel Yr 1'!B58),'Personnel Yr 1'!B58="")),'Personnel Yr 1'!B58,""),"")</f>
        <v/>
      </c>
      <c r="C58" s="29" t="str">
        <f>IF('Personnel Yr 1'!$J$5&gt;1,IF(ISBLANK('Personnel Yr 1'!C58),"",'Personnel Yr 1'!C58),"")</f>
        <v/>
      </c>
      <c r="D58" s="29" t="str">
        <f>IF('Personnel Yr 1'!$J$5&gt;1,IF(ISBLANK('Personnel Yr 1'!D58),"",'Personnel Yr 1'!D58),"")</f>
        <v/>
      </c>
      <c r="E58" s="29" t="str">
        <f>IF('Personnel Yr 1'!$J$5&gt;1,IF(ISBLANK('Personnel Yr 1'!E58),"",'Personnel Yr 1'!E58),"")</f>
        <v/>
      </c>
      <c r="F58" s="29" t="str">
        <f>IF('Personnel Yr 1'!$J$5&gt;1,IF(ISBLANK('Personnel Yr 1'!F58),"",'Personnel Yr 1'!F58),"")</f>
        <v/>
      </c>
      <c r="G58" s="179" t="str">
        <f>IF('Personnel Yr 1'!$J$5&gt;1,IF(ISBLANK('Personnel Yr 1'!G58),"",'Personnel Yr 1'!G58),"")</f>
        <v/>
      </c>
      <c r="H58" s="43" t="str">
        <f>IF('Personnel Yr 1'!$J$5&gt;1,IF(NOT(ISBLANK('Personnel Yr 1'!H58)),(('Personnel Yr 1'!H58*'Personnel Yr 1'!$D$5)+'Personnel Yr 1'!H58),""),"")</f>
        <v/>
      </c>
      <c r="I58" s="29" t="str">
        <f>IF('Personnel Yr 1'!$J$5&gt;1,IF(AND(OR(ISBLANK($H58),$H58=""),ISBLANK('Personnel Yr 1'!I58)),"",'Personnel Yr 1'!I58),"")</f>
        <v/>
      </c>
      <c r="J58" s="29" t="str">
        <f>IF('Personnel Yr 1'!$J$5&gt;1,IF(AND(OR(ISBLANK($H58),$H58=""),ISBLANK('Personnel Yr 1'!J58)),"",'Personnel Yr 1'!J58),"")</f>
        <v/>
      </c>
      <c r="K58" s="29" t="str">
        <f>IF('Personnel Yr 1'!$J$5&gt;1,IF(AND(OR(ISBLANK($H58),$H58=""),ISBLANK('Personnel Yr 1'!K58)),"",'Personnel Yr 1'!K58),"")</f>
        <v/>
      </c>
      <c r="L58" s="180" t="str">
        <f>IF('Personnel Yr 1'!$J$5&gt;1,IF(NOT(OR(ISBLANK(H58),H58="")), IF(OR(AND(ISBLANK(I58),ISBLANK(J58),ISBLANK(K58)),AND(I58="",J58="",K58="")),0, IF((AND((I58&gt;0),((J58+K58)&gt;0))),"Error", IF((I58&gt;0),ROUND((IF(AND('Personnel Yr 1'!$O$5&gt;0,H58&gt;'Personnel Yr 1'!$O$5),'Personnel Yr 1'!$O$5,H58)*(I58/12)),2),ROUND((IF(AND('Personnel Yr 1'!$O$5&gt;0,H58&gt;'Personnel Yr 1'!$O$5),'Personnel Yr 1'!$O$5,H58)*((J58+K58)/8.5)),2)))),""),"")</f>
        <v/>
      </c>
      <c r="M58" s="180" t="str">
        <f>IF('Personnel Yr 1'!$J$5&gt;1,IF(OR(ISBLANK(L58),L58=""),"",ROUND(SUM(T58:V58),2)),"")</f>
        <v/>
      </c>
      <c r="N58" s="181" t="str">
        <f>IF('Personnel Yr 1'!$J$5&gt;1,IF(OR(ISBLANK(M58),M58=""),"",ROUND(SUM(L58:M58),2)),"")</f>
        <v/>
      </c>
      <c r="O58" s="161"/>
      <c r="P58" s="347" t="str">
        <f>IF('Personnel Yr 1'!$J$5&gt;1,IF(NOT(OR(ISBLANK(I58),I58="")),(H58/12)*I58,""),0)</f>
        <v/>
      </c>
      <c r="Q58" s="347" t="str">
        <f>IF('Personnel Yr 1'!$J$5&gt;1,IF(NOT(OR(ISBLANK(J58),J58="")),(H58/8.5)*J58,""),0)</f>
        <v/>
      </c>
      <c r="R58" s="347" t="str">
        <f>IF('Personnel Yr 1'!$J$5&gt;1,IF(NOT(OR(ISBLANK(K58),K58="")),(H58/8.5)*K58,""),0)</f>
        <v/>
      </c>
      <c r="S58" s="347"/>
      <c r="T58" s="347">
        <f t="shared" si="5"/>
        <v>0</v>
      </c>
      <c r="U58" s="347">
        <f t="shared" si="6"/>
        <v>0</v>
      </c>
      <c r="V58" s="347">
        <f t="shared" si="7"/>
        <v>0</v>
      </c>
      <c r="Y58" s="336" t="b">
        <f>IF('Personnel Yr 1'!$J$5&gt;1,IF(OR($N$5&lt;&gt;"Federal - NIH",OR(AND(ISBLANK(I58),ISBLANK(J58),ISBLANK(K58)),AND(I58="",J58="",K58=""))),FALSE,IF(I58&gt;0,H58&gt;NIHSalaryCap,H58&gt;(NIHSalaryCap*8.5)/12)),FALSE)</f>
        <v>0</v>
      </c>
    </row>
    <row r="59" spans="1:25" ht="13.5" hidden="1" thickBot="1" x14ac:dyDescent="0.25">
      <c r="A59" s="264"/>
      <c r="B59" s="27">
        <f>ROWS(E44:E58)-COUNTIF(E44:E58,"")</f>
        <v>0</v>
      </c>
      <c r="C59" s="264"/>
      <c r="D59" s="264"/>
      <c r="E59" s="264"/>
      <c r="F59" s="264"/>
      <c r="G59" s="264"/>
      <c r="H59" s="264"/>
      <c r="I59" s="264"/>
      <c r="J59" s="264"/>
      <c r="K59" s="264"/>
      <c r="L59" s="264"/>
      <c r="M59" s="264"/>
      <c r="N59" s="56">
        <f>SUM(N44:N58)</f>
        <v>0</v>
      </c>
      <c r="O59" s="264"/>
      <c r="P59" s="336">
        <f>SUM(P44:P58)</f>
        <v>0</v>
      </c>
      <c r="Q59" s="336">
        <f t="shared" ref="Q59:V59" si="8">SUM(Q44:Q58)</f>
        <v>0</v>
      </c>
      <c r="R59" s="336">
        <f t="shared" si="8"/>
        <v>0</v>
      </c>
      <c r="S59" s="336">
        <f t="shared" si="8"/>
        <v>0</v>
      </c>
      <c r="T59" s="336">
        <f t="shared" si="8"/>
        <v>0</v>
      </c>
      <c r="U59" s="336">
        <f t="shared" si="8"/>
        <v>0</v>
      </c>
      <c r="V59" s="336">
        <f t="shared" si="8"/>
        <v>0</v>
      </c>
    </row>
  </sheetData>
  <sheetProtection algorithmName="SHA-512" hashValue="SEVmliEa/RfRotIS7axB4EDV5nUXZMaDGAxh0YeFRV6WIjtbTOTxtMICGFOHkm2wPSyJ+x1avmDNHY9oVToLIg==" saltValue="7AcTj9PPlGnEAYAZEWDjEQ==" spinCount="100000" sheet="1" objects="1" scenarios="1"/>
  <dataConsolidate/>
  <mergeCells count="23">
    <mergeCell ref="A1:N1"/>
    <mergeCell ref="B5:C5"/>
    <mergeCell ref="C15:F15"/>
    <mergeCell ref="J16:M16"/>
    <mergeCell ref="G15:M15"/>
    <mergeCell ref="B19:C19"/>
    <mergeCell ref="D19:K19"/>
    <mergeCell ref="A3:N3"/>
    <mergeCell ref="C21:H21"/>
    <mergeCell ref="C24:H24"/>
    <mergeCell ref="C22:H22"/>
    <mergeCell ref="C16:F16"/>
    <mergeCell ref="C23:F23"/>
    <mergeCell ref="B42:D42"/>
    <mergeCell ref="H33:L34"/>
    <mergeCell ref="H35:L39"/>
    <mergeCell ref="I30:M30"/>
    <mergeCell ref="C25:H25"/>
    <mergeCell ref="C26:H26"/>
    <mergeCell ref="C29:F29"/>
    <mergeCell ref="I29:M29"/>
    <mergeCell ref="C27:H27"/>
    <mergeCell ref="C28:H28"/>
  </mergeCells>
  <phoneticPr fontId="5" type="noConversion"/>
  <conditionalFormatting sqref="L21:L22 L24:L28">
    <cfRule type="cellIs" dxfId="29" priority="29" stopIfTrue="1" operator="lessThan">
      <formula>1</formula>
    </cfRule>
  </conditionalFormatting>
  <conditionalFormatting sqref="H23">
    <cfRule type="cellIs" dxfId="28" priority="30" stopIfTrue="1" operator="equal">
      <formula>""</formula>
    </cfRule>
  </conditionalFormatting>
  <conditionalFormatting sqref="L23">
    <cfRule type="cellIs" dxfId="27" priority="25" stopIfTrue="1" operator="lessThan">
      <formula>1</formula>
    </cfRule>
  </conditionalFormatting>
  <conditionalFormatting sqref="H7:H14">
    <cfRule type="expression" dxfId="26" priority="24">
      <formula>$Y$7</formula>
    </cfRule>
  </conditionalFormatting>
  <conditionalFormatting sqref="H44:H58">
    <cfRule type="expression" dxfId="25" priority="1">
      <formula>$Y$7</formula>
    </cfRule>
  </conditionalFormatting>
  <dataValidations count="3">
    <dataValidation type="list" allowBlank="1" showInputMessage="1" showErrorMessage="1" sqref="H23" xr:uid="{00000000-0002-0000-0200-000000000000}">
      <formula1>Grad</formula1>
    </dataValidation>
    <dataValidation type="list" allowBlank="1" showInputMessage="1" showErrorMessage="1" sqref="B7:B14 B44:B58" xr:uid="{00000000-0002-0000-0200-000001000000}">
      <formula1>Prefix</formula1>
    </dataValidation>
    <dataValidation type="list" allowBlank="1" showInputMessage="1" showErrorMessage="1" sqref="G7:G14 G44:G58" xr:uid="{00000000-0002-0000-0200-000002000000}">
      <formula1>Roles</formula1>
    </dataValidation>
  </dataValidations>
  <printOptions horizontalCentered="1"/>
  <pageMargins left="0.25" right="0.25" top="0.5" bottom="0.5" header="0.5" footer="0.5"/>
  <pageSetup scale="91" orientation="landscape" r:id="rId1"/>
  <headerFooter alignWithMargins="0">
    <oddFooter>&amp;RPrinted On: &amp;D &amp;T</oddFooter>
  </headerFooter>
  <ignoredErrors>
    <ignoredError sqref="B8:G14 B21:L21 M21:M24 M26 B44:G58 L27:L28 B26 D26:L26 B24:L24 C23 G23:K23 C22:L22 B7:G7 B25 D25:L25" unlockedFormula="1"/>
    <ignoredError sqref="M25" formula="1" unlockedFormula="1"/>
  </ignoredErrors>
  <extLst>
    <ext xmlns:x14="http://schemas.microsoft.com/office/spreadsheetml/2009/9/main" uri="{78C0D931-6437-407d-A8EE-F0AAD7539E65}">
      <x14:conditionalFormattings>
        <x14:conditionalFormatting xmlns:xm="http://schemas.microsoft.com/office/excel/2006/main">
          <x14:cfRule type="expression" priority="26" id="{911963F5-8260-463B-8A6A-CB433B054398}">
            <xm:f>IF('Personnel Yr 1'!N5="Federal - NIH",SUM('Non-personnel'!$H$41,$N$23)/IF(OR(ISBLANK($B$23),NOT(ISNUMBER($B$23))),1,$B$23)&gt;NIHGradLimit)</xm:f>
            <x14:dxf>
              <fill>
                <patternFill>
                  <bgColor rgb="FFFFFF00"/>
                </patternFill>
              </fill>
            </x14:dxf>
          </x14:cfRule>
          <xm:sqref>N23</xm:sqref>
        </x14:conditionalFormatting>
      </x14:conditionalFormattings>
    </ext>
    <ext xmlns:x14="http://schemas.microsoft.com/office/spreadsheetml/2009/9/main" uri="{CCE6A557-97BC-4b89-ADB6-D9C93CAAB3DF}">
      <x14:dataValidations xmlns:xm="http://schemas.microsoft.com/office/excel/2006/main" count="2">
        <x14:dataValidation type="custom" errorStyle="information" allowBlank="1" showInputMessage="1" showErrorMessage="1" errorTitle="Salary Cap Error" error="Base salary should remain under $185,100 for calandar appointments and $131,112 for academic appointments." xr:uid="{00000000-0002-0000-0200-000003000000}">
          <x14:formula1>
            <xm:f>IF(AND('Personnel Yr 1'!$N$5="Federal - NIH",OR(NOT(ISBLANK($I7)),NOT(ISBLANK($J7)),NOT(ISBLANK($K7)),$I7&lt;&gt;"",$J7&lt;&gt;"",$K7&lt;&gt;"")),IF($I7&gt;0,$H7&lt;=NIHSalaryCap,$H7&lt;=(NIHSalaryCap*8.5)/12),TRUE)</xm:f>
          </x14:formula1>
          <xm:sqref>H7:K14 H44:K58</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200-000004000000}">
          <x14:formula1>
            <xm:f>OR(AND('Personnel Yr 1'!N5="Federal - NIH",SUM('Non-personnel'!$J$41,$N$23)/IF(OR(ISBLANK(B23),NOT(ISNUMBER(B23))),1,B23)&lt;=NIHGradLimit),'Personnel Yr 1'!N5&lt;&gt;"Federal - NIH")</xm:f>
          </x14:formula1>
          <xm:sqref>L23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Z59"/>
  <sheetViews>
    <sheetView zoomScaleNormal="100" workbookViewId="0">
      <selection activeCell="A2" sqref="A2"/>
    </sheetView>
  </sheetViews>
  <sheetFormatPr defaultRowHeight="12.75" x14ac:dyDescent="0.2"/>
  <cols>
    <col min="1" max="1" width="3" bestFit="1" customWidth="1"/>
    <col min="2" max="2" width="6.5703125" customWidth="1"/>
    <col min="3" max="3" width="18.7109375" customWidth="1"/>
    <col min="4" max="4" width="9.28515625" customWidth="1"/>
    <col min="5" max="5" width="18.7109375" customWidth="1"/>
    <col min="6" max="6" width="6.28515625" customWidth="1"/>
    <col min="7" max="7" width="18.85546875" customWidth="1"/>
    <col min="8" max="8" width="10.5703125" customWidth="1"/>
    <col min="9" max="11" width="7.42578125" customWidth="1"/>
    <col min="12" max="14" width="10.5703125" customWidth="1"/>
    <col min="15" max="15" width="72.140625" customWidth="1"/>
    <col min="16" max="25" width="9.140625" style="336"/>
    <col min="26" max="26" width="9" style="338" customWidth="1"/>
  </cols>
  <sheetData>
    <row r="1" spans="1:25" ht="18" x14ac:dyDescent="0.25">
      <c r="A1" s="561" t="s">
        <v>507</v>
      </c>
      <c r="B1" s="561"/>
      <c r="C1" s="561"/>
      <c r="D1" s="561"/>
      <c r="E1" s="561"/>
      <c r="F1" s="561"/>
      <c r="G1" s="561"/>
      <c r="H1" s="561"/>
      <c r="I1" s="561"/>
      <c r="J1" s="561"/>
      <c r="K1" s="561"/>
      <c r="L1" s="561"/>
      <c r="M1" s="561"/>
      <c r="N1" s="561"/>
    </row>
    <row r="2" spans="1:25" x14ac:dyDescent="0.2">
      <c r="A2" s="1"/>
      <c r="B2" s="1"/>
      <c r="C2" s="1"/>
      <c r="D2" s="1"/>
      <c r="E2" s="1"/>
      <c r="F2" s="1"/>
      <c r="G2" s="1"/>
      <c r="H2" s="1"/>
      <c r="I2" s="1"/>
      <c r="J2" s="1"/>
      <c r="K2" s="1"/>
      <c r="L2" s="1"/>
      <c r="M2" s="1"/>
      <c r="N2" s="1"/>
    </row>
    <row r="3" spans="1:25" ht="18" x14ac:dyDescent="0.25">
      <c r="A3" s="561" t="s">
        <v>79</v>
      </c>
      <c r="B3" s="561"/>
      <c r="C3" s="561"/>
      <c r="D3" s="561"/>
      <c r="E3" s="561"/>
      <c r="F3" s="561"/>
      <c r="G3" s="561"/>
      <c r="H3" s="561"/>
      <c r="I3" s="561"/>
      <c r="J3" s="561"/>
      <c r="K3" s="561"/>
      <c r="L3" s="561"/>
      <c r="M3" s="561"/>
      <c r="N3" s="561"/>
    </row>
    <row r="4" spans="1:25" ht="18" x14ac:dyDescent="0.25">
      <c r="A4" s="63"/>
      <c r="B4" s="63"/>
      <c r="C4" s="63"/>
      <c r="D4" s="63"/>
      <c r="E4" s="63"/>
      <c r="F4" s="63"/>
      <c r="G4" s="63"/>
      <c r="H4" s="63"/>
      <c r="I4" s="63"/>
      <c r="J4" s="63"/>
      <c r="K4" s="63"/>
      <c r="L4" s="63"/>
      <c r="M4" s="63"/>
      <c r="N4" s="63"/>
    </row>
    <row r="5" spans="1:25" x14ac:dyDescent="0.2">
      <c r="A5" s="2"/>
      <c r="B5" s="562" t="s">
        <v>5</v>
      </c>
      <c r="C5" s="562"/>
      <c r="D5" s="74"/>
      <c r="E5" s="2"/>
      <c r="F5" s="2"/>
      <c r="G5" s="2"/>
      <c r="H5" s="2"/>
      <c r="I5" s="2"/>
      <c r="J5" s="2"/>
      <c r="K5" s="2"/>
      <c r="L5" s="2"/>
      <c r="M5" s="2"/>
      <c r="N5" s="347" t="str">
        <f>'Personnel Yr 2'!N5</f>
        <v>Fnd/Prof Soc</v>
      </c>
      <c r="O5" s="9"/>
    </row>
    <row r="6" spans="1:25" ht="26.25" thickBot="1" x14ac:dyDescent="0.25">
      <c r="A6" s="2"/>
      <c r="B6" s="3" t="s">
        <v>0</v>
      </c>
      <c r="C6" s="3" t="s">
        <v>1</v>
      </c>
      <c r="D6" s="3" t="s">
        <v>2</v>
      </c>
      <c r="E6" s="3" t="s">
        <v>3</v>
      </c>
      <c r="F6" s="3" t="s">
        <v>4</v>
      </c>
      <c r="G6" s="3" t="s">
        <v>42</v>
      </c>
      <c r="H6" s="3" t="s">
        <v>43</v>
      </c>
      <c r="I6" s="3" t="s">
        <v>60</v>
      </c>
      <c r="J6" s="3" t="s">
        <v>61</v>
      </c>
      <c r="K6" s="3" t="s">
        <v>62</v>
      </c>
      <c r="L6" s="4" t="s">
        <v>44</v>
      </c>
      <c r="M6" s="3" t="s">
        <v>45</v>
      </c>
      <c r="N6" s="3" t="s">
        <v>41</v>
      </c>
      <c r="O6" s="3" t="s">
        <v>234</v>
      </c>
      <c r="P6" s="335" t="s">
        <v>66</v>
      </c>
      <c r="Q6" s="335" t="s">
        <v>67</v>
      </c>
      <c r="R6" s="335" t="s">
        <v>68</v>
      </c>
      <c r="T6" s="335" t="s">
        <v>66</v>
      </c>
      <c r="U6" s="335" t="s">
        <v>67</v>
      </c>
      <c r="V6" s="335" t="s">
        <v>68</v>
      </c>
      <c r="Y6" s="336" t="s">
        <v>464</v>
      </c>
    </row>
    <row r="7" spans="1:25" x14ac:dyDescent="0.2">
      <c r="A7" s="5">
        <v>1</v>
      </c>
      <c r="B7" s="28" t="str">
        <f>IF('Personnel Yr 1'!$J$5&gt;2,IF(NOT(OR(ISBLANK('Personnel Yr 2'!B7),'Personnel Yr 2'!B7="")),'Personnel Yr 2'!B7,""),"")</f>
        <v/>
      </c>
      <c r="C7" s="17" t="str">
        <f>IF('Personnel Yr 1'!$J$5&gt;2,IF(ISBLANK('Personnel Yr 2'!C7),"",'Personnel Yr 2'!C7),"")</f>
        <v/>
      </c>
      <c r="D7" s="17" t="str">
        <f>IF('Personnel Yr 1'!$J$5&gt;2,IF(ISBLANK('Personnel Yr 2'!D7),"",'Personnel Yr 2'!D7),"")</f>
        <v/>
      </c>
      <c r="E7" s="17" t="str">
        <f>IF('Personnel Yr 1'!$J$5&gt;2,IF(ISBLANK('Personnel Yr 2'!E7),"",'Personnel Yr 2'!E7),"")</f>
        <v/>
      </c>
      <c r="F7" s="17" t="str">
        <f>IF('Personnel Yr 1'!$J$5&gt;2,IF(ISBLANK('Personnel Yr 2'!F7),"",'Personnel Yr 2'!F7),"")</f>
        <v/>
      </c>
      <c r="G7" s="17" t="str">
        <f>IF('Personnel Yr 1'!$J$5&gt;2,IF(ISBLANK('Personnel Yr 2'!G7),"",'Personnel Yr 2'!G7),"")</f>
        <v/>
      </c>
      <c r="H7" s="177" t="str">
        <f>IF('Personnel Yr 1'!$J$5&gt;2,IF(NOT(OR(ISBLANK('Personnel Yr 2'!H7),'Personnel Yr 2'!H7="")),(('Personnel Yr 2'!H7*'Personnel Yr 1'!$D$5)+'Personnel Yr 2'!H7),""),"")</f>
        <v/>
      </c>
      <c r="I7" s="17" t="str">
        <f>IF('Personnel Yr 1'!$J$5&gt;2,IF(AND(OR(ISBLANK(H7),H7=""),ISBLANK('Personnel Yr 2'!I7)),"",'Personnel Yr 2'!I7),"")</f>
        <v/>
      </c>
      <c r="J7" s="17" t="str">
        <f>IF('Personnel Yr 1'!$J$5&gt;2,IF(AND(OR(ISBLANK(I7),I7=""),ISBLANK('Personnel Yr 2'!J7)),"",'Personnel Yr 2'!J7),"")</f>
        <v/>
      </c>
      <c r="K7" s="17" t="str">
        <f>IF('Personnel Yr 1'!$J$5&gt;2,IF(AND(OR(ISBLANK(J7),J7=""),ISBLANK('Personnel Yr 2'!K7)),"",'Personnel Yr 2'!K7),"")</f>
        <v/>
      </c>
      <c r="L7" s="45" t="str">
        <f>IF('Personnel Yr 1'!$J$5&gt;2,IF(NOT(OR(ISBLANK(H7),H7="")), IF(OR(AND(ISBLANK(I7),ISBLANK(J7),ISBLANK(K7)),AND(I7="",J7="",K7="")),0, IF((AND((I7&gt;0),((J7+K7)&gt;0))),"Error", IF((I7&gt;0),ROUND((IF(AND('Personnel Yr 1'!$O$5&gt;0,H7&gt;'Personnel Yr 1'!$O$5),'Personnel Yr 1'!$O$5,H7)*(I7/12)),2),ROUND((IF(AND('Personnel Yr 1'!$O$5&gt;0,H7&gt;'Personnel Yr 1'!$O$5),'Personnel Yr 1'!$O$5,H7)*((J7+K7)/8.5)),2)))),""),"")</f>
        <v/>
      </c>
      <c r="M7" s="45" t="str">
        <f>IF('Personnel Yr 1'!$J$5&gt;2,IF(OR(ISBLANK(L7),L7=""),"",ROUND(SUM(T7:V7),2)),"")</f>
        <v/>
      </c>
      <c r="N7" s="46" t="str">
        <f>IF('Personnel Yr 1'!$J$5&gt;2,IF(OR(ISBLANK(M7),M7=""),"",ROUND(SUM(L7:M7),2)),"")</f>
        <v/>
      </c>
      <c r="O7" s="158"/>
      <c r="P7" s="336">
        <f>IF('Personnel Yr 1'!$J$5&gt;2,IF(NOT(OR(ISBLANK(I7),I7="")),(H7/12)*I7,""),0)</f>
        <v>0</v>
      </c>
      <c r="Q7" s="336">
        <f>IF('Personnel Yr 1'!$J$5&gt;2,IF(NOT(OR(ISBLANK(J7),J7="")),(H7/8.5)*J7,""),0)</f>
        <v>0</v>
      </c>
      <c r="R7" s="336">
        <f>IF('Personnel Yr 1'!$J$5&gt;2,IF(NOT(OR(ISBLANK(K7),K7="")),(H7/8.5)*K7,""),0)</f>
        <v>0</v>
      </c>
      <c r="T7" s="347">
        <f>IF(OR(ISBLANK(P7),P7=""),0,P7*LOOKUP("Full",Ben,Per))</f>
        <v>0</v>
      </c>
      <c r="U7" s="347">
        <f>IF(OR(ISBLANK(Q7),Q7=""),0,Q7*LOOKUP("Full",Ben,Per))</f>
        <v>0</v>
      </c>
      <c r="V7" s="347">
        <f>IF(OR(ISBLANK(R7),R7=""),0,R7*LOOKUP("Summer",Ben,Per))</f>
        <v>0</v>
      </c>
      <c r="X7" s="336">
        <v>7</v>
      </c>
      <c r="Y7" s="336" t="b">
        <f>IF('Personnel Yr 1'!$J$5&gt;2,IF(OR($N$5&lt;&gt;"Federal - NIH",OR(AND(ISBLANK(I7),ISBLANK(J7),ISBLANK(K7)),AND(I7="",J7="",K7=""))),FALSE,IF(I7&gt;0,H7&gt;NIHSalaryCap,H7&gt;(NIHSalaryCap*8.5)/12)),FALSE)</f>
        <v>0</v>
      </c>
    </row>
    <row r="8" spans="1:25" x14ac:dyDescent="0.2">
      <c r="A8" s="5">
        <v>2</v>
      </c>
      <c r="B8" s="6" t="str">
        <f>IF('Personnel Yr 1'!$J$5&gt;2,IF(NOT(OR(ISBLANK('Personnel Yr 2'!B8),'Personnel Yr 2'!B8="")),'Personnel Yr 2'!B8,""),"")</f>
        <v/>
      </c>
      <c r="C8" s="22" t="str">
        <f>IF('Personnel Yr 1'!$J$5&gt;2,IF(ISBLANK('Personnel Yr 2'!C8),"",'Personnel Yr 2'!C8),"")</f>
        <v/>
      </c>
      <c r="D8" s="22" t="str">
        <f>IF('Personnel Yr 1'!$J$5&gt;2,IF(ISBLANK('Personnel Yr 2'!D8),"",'Personnel Yr 2'!D8),"")</f>
        <v/>
      </c>
      <c r="E8" s="22" t="str">
        <f>IF('Personnel Yr 1'!$J$5&gt;2,IF(ISBLANK('Personnel Yr 2'!E8),"",'Personnel Yr 2'!E8),"")</f>
        <v/>
      </c>
      <c r="F8" s="22" t="str">
        <f>IF('Personnel Yr 1'!$J$5&gt;2,IF(ISBLANK('Personnel Yr 2'!F8),"",'Personnel Yr 2'!F8),"")</f>
        <v/>
      </c>
      <c r="G8" s="22" t="str">
        <f>IF('Personnel Yr 1'!$J$5&gt;2,IF(ISBLANK('Personnel Yr 2'!G8),"",'Personnel Yr 2'!G8),"")</f>
        <v/>
      </c>
      <c r="H8" s="42" t="str">
        <f>IF('Personnel Yr 1'!$J$5&gt;2,IF(NOT(OR(ISBLANK('Personnel Yr 2'!H8),'Personnel Yr 2'!H8="")),(('Personnel Yr 2'!H8*'Personnel Yr 1'!$D$5)+'Personnel Yr 2'!H8),""),"")</f>
        <v/>
      </c>
      <c r="I8" s="22" t="str">
        <f>IF('Personnel Yr 1'!$J$5&gt;2,IF(AND(OR(ISBLANK(H8),H8=""),ISBLANK('Personnel Yr 2'!I8)),"",'Personnel Yr 2'!I8),"")</f>
        <v/>
      </c>
      <c r="J8" s="22" t="str">
        <f>IF('Personnel Yr 1'!$J$5&gt;2,IF(AND(OR(ISBLANK(I8),I8=""),ISBLANK('Personnel Yr 2'!J8)),"",'Personnel Yr 2'!J8),"")</f>
        <v/>
      </c>
      <c r="K8" s="22" t="str">
        <f>IF('Personnel Yr 1'!$J$5&gt;2,IF(AND(OR(ISBLANK(J8),J8=""),ISBLANK('Personnel Yr 2'!K8)),"",'Personnel Yr 2'!K8),"")</f>
        <v/>
      </c>
      <c r="L8" s="44" t="str">
        <f>IF('Personnel Yr 1'!$J$5&gt;2,IF(NOT(OR(ISBLANK(H8),H8="")), IF(OR(AND(ISBLANK(I8),ISBLANK(J8),ISBLANK(K8)),AND(I8="",J8="",K8="")),0, IF((AND((I8&gt;0),((J8+K8)&gt;0))),"Error", IF((I8&gt;0),ROUND((IF(AND('Personnel Yr 1'!$O$5&gt;0,H8&gt;'Personnel Yr 1'!$O$5),'Personnel Yr 1'!$O$5,H8)*(I8/12)),2),ROUND((IF(AND('Personnel Yr 1'!$O$5&gt;0,H8&gt;'Personnel Yr 1'!$O$5),'Personnel Yr 1'!$O$5,H8)*((J8+K8)/8.5)),2)))),""),"")</f>
        <v/>
      </c>
      <c r="M8" s="44" t="str">
        <f>IF('Personnel Yr 1'!$J$5&gt;2,IF(OR(ISBLANK(L8),L8=""),"",ROUND(SUM(T8:V8),2)),"")</f>
        <v/>
      </c>
      <c r="N8" s="51" t="str">
        <f>IF('Personnel Yr 1'!$J$5&gt;2,IF(OR(ISBLANK(M8),M8=""),"",ROUND(SUM(L8:M8),2)),"")</f>
        <v/>
      </c>
      <c r="O8" s="159"/>
      <c r="P8" s="336">
        <f>IF('Personnel Yr 1'!$J$5&gt;2,IF(NOT(OR(ISBLANK(I8),I8="")),(H8/12)*I8,""),0)</f>
        <v>0</v>
      </c>
      <c r="Q8" s="336">
        <f>IF('Personnel Yr 1'!$J$5&gt;2,IF(NOT(OR(ISBLANK(J8),J8="")),(H8/8.5)*J8,""),0)</f>
        <v>0</v>
      </c>
      <c r="R8" s="336">
        <f>IF('Personnel Yr 1'!$J$5&gt;2,IF(NOT(OR(ISBLANK(K8),K8="")),(H8/8.5)*K8,""),0)</f>
        <v>0</v>
      </c>
      <c r="T8" s="347">
        <f t="shared" ref="T8:U14" si="0">IF(OR(ISBLANK(P8),P8=""),0,P8*LOOKUP("Full",Ben,Per))</f>
        <v>0</v>
      </c>
      <c r="U8" s="347">
        <f t="shared" si="0"/>
        <v>0</v>
      </c>
      <c r="V8" s="347">
        <f t="shared" ref="V8:V14" si="1">IF(OR(ISBLANK(R8),R8=""),0,R8*LOOKUP("Summer",Ben,Per))</f>
        <v>0</v>
      </c>
      <c r="X8" s="336">
        <v>8</v>
      </c>
      <c r="Y8" s="336" t="b">
        <f>IF('Personnel Yr 1'!$J$5&gt;2,IF(OR($N$5&lt;&gt;"Federal - NIH",OR(AND(ISBLANK(I8),ISBLANK(J8),ISBLANK(K8)),AND(I8="",J8="",K8=""))),FALSE,IF(I8&gt;0,H8&gt;NIHSalaryCap,H8&gt;(NIHSalaryCap*8.5)/12)),FALSE)</f>
        <v>0</v>
      </c>
    </row>
    <row r="9" spans="1:25" x14ac:dyDescent="0.2">
      <c r="A9" s="5">
        <v>3</v>
      </c>
      <c r="B9" s="6" t="str">
        <f>IF('Personnel Yr 1'!$J$5&gt;2,IF(NOT(OR(ISBLANK('Personnel Yr 2'!B9),'Personnel Yr 2'!B9="")),'Personnel Yr 2'!B9,""),"")</f>
        <v/>
      </c>
      <c r="C9" s="22" t="str">
        <f>IF('Personnel Yr 1'!$J$5&gt;2,IF(ISBLANK('Personnel Yr 2'!C9),"",'Personnel Yr 2'!C9),"")</f>
        <v/>
      </c>
      <c r="D9" s="22" t="str">
        <f>IF('Personnel Yr 1'!$J$5&gt;2,IF(ISBLANK('Personnel Yr 2'!D9),"",'Personnel Yr 2'!D9),"")</f>
        <v/>
      </c>
      <c r="E9" s="22" t="str">
        <f>IF('Personnel Yr 1'!$J$5&gt;2,IF(ISBLANK('Personnel Yr 2'!E9),"",'Personnel Yr 2'!E9),"")</f>
        <v/>
      </c>
      <c r="F9" s="22" t="str">
        <f>IF('Personnel Yr 1'!$J$5&gt;2,IF(ISBLANK('Personnel Yr 2'!F9),"",'Personnel Yr 2'!F9),"")</f>
        <v/>
      </c>
      <c r="G9" s="22" t="str">
        <f>IF('Personnel Yr 1'!$J$5&gt;2,IF(ISBLANK('Personnel Yr 2'!G9),"",'Personnel Yr 2'!G9),"")</f>
        <v/>
      </c>
      <c r="H9" s="42" t="str">
        <f>IF('Personnel Yr 1'!$J$5&gt;2,IF(NOT(OR(ISBLANK('Personnel Yr 2'!H9),'Personnel Yr 2'!H9="")),(('Personnel Yr 2'!H9*'Personnel Yr 1'!$D$5)+'Personnel Yr 2'!H9),""),"")</f>
        <v/>
      </c>
      <c r="I9" s="22" t="str">
        <f>IF('Personnel Yr 1'!$J$5&gt;2,IF(AND(OR(ISBLANK(H9),H9=""),ISBLANK('Personnel Yr 2'!I9)),"",'Personnel Yr 2'!I9),"")</f>
        <v/>
      </c>
      <c r="J9" s="22" t="str">
        <f>IF('Personnel Yr 1'!$J$5&gt;2,IF(AND(OR(ISBLANK(I9),I9=""),ISBLANK('Personnel Yr 2'!J9)),"",'Personnel Yr 2'!J9),"")</f>
        <v/>
      </c>
      <c r="K9" s="22" t="str">
        <f>IF('Personnel Yr 1'!$J$5&gt;2,IF(AND(OR(ISBLANK(J9),J9=""),ISBLANK('Personnel Yr 2'!K9)),"",'Personnel Yr 2'!K9),"")</f>
        <v/>
      </c>
      <c r="L9" s="44" t="str">
        <f>IF('Personnel Yr 1'!$J$5&gt;2,IF(NOT(OR(ISBLANK(H9),H9="")), IF(OR(AND(ISBLANK(I9),ISBLANK(J9),ISBLANK(K9)),AND(I9="",J9="",K9="")),0, IF((AND((I9&gt;0),((J9+K9)&gt;0))),"Error", IF((I9&gt;0),ROUND((IF(AND('Personnel Yr 1'!$O$5&gt;0,H9&gt;'Personnel Yr 1'!$O$5),'Personnel Yr 1'!$O$5,H9)*(I9/12)),2),ROUND((IF(AND('Personnel Yr 1'!$O$5&gt;0,H9&gt;'Personnel Yr 1'!$O$5),'Personnel Yr 1'!$O$5,H9)*((J9+K9)/8.5)),2)))),""),"")</f>
        <v/>
      </c>
      <c r="M9" s="44" t="str">
        <f>IF('Personnel Yr 1'!$J$5&gt;2,IF(OR(ISBLANK(L9),L9=""),"",ROUND(SUM(T9:V9),2)),"")</f>
        <v/>
      </c>
      <c r="N9" s="51" t="str">
        <f>IF('Personnel Yr 1'!$J$5&gt;2,IF(OR(ISBLANK(M9),M9=""),"",ROUND(SUM(L9:M9),2)),"")</f>
        <v/>
      </c>
      <c r="O9" s="157"/>
      <c r="P9" s="336">
        <f>IF('Personnel Yr 1'!$J$5&gt;2,IF(NOT(OR(ISBLANK(I9),I9="")),(H9/12)*I9,""),0)</f>
        <v>0</v>
      </c>
      <c r="Q9" s="336">
        <f>IF('Personnel Yr 1'!$J$5&gt;2,IF(NOT(OR(ISBLANK(J9),J9="")),(H9/8.5)*J9,""),0)</f>
        <v>0</v>
      </c>
      <c r="R9" s="336">
        <f>IF('Personnel Yr 1'!$J$5&gt;2,IF(NOT(OR(ISBLANK(K9),K9="")),(H9/8.5)*K9,""),0)</f>
        <v>0</v>
      </c>
      <c r="T9" s="347">
        <f t="shared" si="0"/>
        <v>0</v>
      </c>
      <c r="U9" s="347">
        <f t="shared" si="0"/>
        <v>0</v>
      </c>
      <c r="V9" s="347">
        <f t="shared" si="1"/>
        <v>0</v>
      </c>
      <c r="X9" s="336">
        <v>9</v>
      </c>
      <c r="Y9" s="336" t="b">
        <f>IF('Personnel Yr 1'!$J$5&gt;2,IF(OR($N$5&lt;&gt;"Federal - NIH",OR(AND(ISBLANK(I9),ISBLANK(J9),ISBLANK(K9)),AND(I9="",J9="",K9=""))),FALSE,IF(I9&gt;0,H9&gt;NIHSalaryCap,H9&gt;(NIHSalaryCap*8.5)/12)),FALSE)</f>
        <v>0</v>
      </c>
    </row>
    <row r="10" spans="1:25" x14ac:dyDescent="0.2">
      <c r="A10" s="5">
        <v>4</v>
      </c>
      <c r="B10" s="6" t="str">
        <f>IF('Personnel Yr 1'!$J$5&gt;2,IF(NOT(OR(ISBLANK('Personnel Yr 2'!B10),'Personnel Yr 2'!B10="")),'Personnel Yr 2'!B10,""),"")</f>
        <v/>
      </c>
      <c r="C10" s="22" t="str">
        <f>IF('Personnel Yr 1'!$J$5&gt;2,IF(ISBLANK('Personnel Yr 2'!C10),"",'Personnel Yr 2'!C10),"")</f>
        <v/>
      </c>
      <c r="D10" s="22" t="str">
        <f>IF('Personnel Yr 1'!$J$5&gt;2,IF(ISBLANK('Personnel Yr 2'!D10),"",'Personnel Yr 2'!D10),"")</f>
        <v/>
      </c>
      <c r="E10" s="22" t="str">
        <f>IF('Personnel Yr 1'!$J$5&gt;2,IF(ISBLANK('Personnel Yr 2'!E10),"",'Personnel Yr 2'!E10),"")</f>
        <v/>
      </c>
      <c r="F10" s="22" t="str">
        <f>IF('Personnel Yr 1'!$J$5&gt;2,IF(ISBLANK('Personnel Yr 2'!F10),"",'Personnel Yr 2'!F10),"")</f>
        <v/>
      </c>
      <c r="G10" s="22" t="str">
        <f>IF('Personnel Yr 1'!$J$5&gt;2,IF(ISBLANK('Personnel Yr 2'!G10),"",'Personnel Yr 2'!G10),"")</f>
        <v/>
      </c>
      <c r="H10" s="42" t="str">
        <f>IF('Personnel Yr 1'!$J$5&gt;2,IF(NOT(OR(ISBLANK('Personnel Yr 2'!H10),'Personnel Yr 2'!H10="")),(('Personnel Yr 2'!H10*'Personnel Yr 1'!$D$5)+'Personnel Yr 2'!H10),""),"")</f>
        <v/>
      </c>
      <c r="I10" s="22" t="str">
        <f>IF('Personnel Yr 1'!$J$5&gt;2,IF(AND(OR(ISBLANK(H10),H10=""),ISBLANK('Personnel Yr 2'!I10)),"",'Personnel Yr 2'!I10),"")</f>
        <v/>
      </c>
      <c r="J10" s="22" t="str">
        <f>IF('Personnel Yr 1'!$J$5&gt;2,IF(AND(OR(ISBLANK(I10),I10=""),ISBLANK('Personnel Yr 2'!J10)),"",'Personnel Yr 2'!J10),"")</f>
        <v/>
      </c>
      <c r="K10" s="22" t="str">
        <f>IF('Personnel Yr 1'!$J$5&gt;2,IF(AND(OR(ISBLANK(J10),J10=""),ISBLANK('Personnel Yr 2'!K10)),"",'Personnel Yr 2'!K10),"")</f>
        <v/>
      </c>
      <c r="L10" s="44" t="str">
        <f>IF('Personnel Yr 1'!$J$5&gt;2,IF(NOT(OR(ISBLANK(H10),H10="")), IF(OR(AND(ISBLANK(I10),ISBLANK(J10),ISBLANK(K10)),AND(I10="",J10="",K10="")),0, IF((AND((I10&gt;0),((J10+K10)&gt;0))),"Error", IF((I10&gt;0),ROUND((IF(AND('Personnel Yr 1'!$O$5&gt;0,H10&gt;'Personnel Yr 1'!$O$5),'Personnel Yr 1'!$O$5,H10)*(I10/12)),2),ROUND((IF(AND('Personnel Yr 1'!$O$5&gt;0,H10&gt;'Personnel Yr 1'!$O$5),'Personnel Yr 1'!$O$5,H10)*((J10+K10)/8.5)),2)))),""),"")</f>
        <v/>
      </c>
      <c r="M10" s="44" t="str">
        <f>IF('Personnel Yr 1'!$J$5&gt;2,IF(OR(ISBLANK(L10),L10=""),"",ROUND(SUM(T10:V10),2)),"")</f>
        <v/>
      </c>
      <c r="N10" s="51" t="str">
        <f>IF('Personnel Yr 1'!$J$5&gt;2,IF(OR(ISBLANK(M10),M10=""),"",ROUND(SUM(L10:M10),2)),"")</f>
        <v/>
      </c>
      <c r="O10" s="160"/>
      <c r="P10" s="336">
        <f>IF('Personnel Yr 1'!$J$5&gt;2,IF(NOT(OR(ISBLANK(I10),I10="")),(H10/12)*I10,""),0)</f>
        <v>0</v>
      </c>
      <c r="Q10" s="336">
        <f>IF('Personnel Yr 1'!$J$5&gt;2,IF(NOT(OR(ISBLANK(J10),J10="")),(H10/8.5)*J10,""),0)</f>
        <v>0</v>
      </c>
      <c r="R10" s="336">
        <f>IF('Personnel Yr 1'!$J$5&gt;2,IF(NOT(OR(ISBLANK(K10),K10="")),(H10/8.5)*K10,""),0)</f>
        <v>0</v>
      </c>
      <c r="T10" s="347">
        <f t="shared" si="0"/>
        <v>0</v>
      </c>
      <c r="U10" s="347">
        <f t="shared" si="0"/>
        <v>0</v>
      </c>
      <c r="V10" s="347">
        <f t="shared" si="1"/>
        <v>0</v>
      </c>
      <c r="X10" s="336">
        <v>10</v>
      </c>
      <c r="Y10" s="336" t="b">
        <f>IF('Personnel Yr 1'!$J$5&gt;2,IF(OR($N$5&lt;&gt;"Federal - NIH",OR(AND(ISBLANK(I10),ISBLANK(J10),ISBLANK(K10)),AND(I10="",J10="",K10=""))),FALSE,IF(I10&gt;0,H10&gt;NIHSalaryCap,H10&gt;(NIHSalaryCap*8.5)/12)),FALSE)</f>
        <v>0</v>
      </c>
    </row>
    <row r="11" spans="1:25" x14ac:dyDescent="0.2">
      <c r="A11" s="5">
        <v>5</v>
      </c>
      <c r="B11" s="6" t="str">
        <f>IF('Personnel Yr 1'!$J$5&gt;2,IF(NOT(OR(ISBLANK('Personnel Yr 2'!B11),'Personnel Yr 2'!B11="")),'Personnel Yr 2'!B11,""),"")</f>
        <v/>
      </c>
      <c r="C11" s="22" t="str">
        <f>IF('Personnel Yr 1'!$J$5&gt;2,IF(ISBLANK('Personnel Yr 2'!C11),"",'Personnel Yr 2'!C11),"")</f>
        <v/>
      </c>
      <c r="D11" s="22" t="str">
        <f>IF('Personnel Yr 1'!$J$5&gt;2,IF(ISBLANK('Personnel Yr 2'!D11),"",'Personnel Yr 2'!D11),"")</f>
        <v/>
      </c>
      <c r="E11" s="22" t="str">
        <f>IF('Personnel Yr 1'!$J$5&gt;2,IF(ISBLANK('Personnel Yr 2'!E11),"",'Personnel Yr 2'!E11),"")</f>
        <v/>
      </c>
      <c r="F11" s="22" t="str">
        <f>IF('Personnel Yr 1'!$J$5&gt;2,IF(ISBLANK('Personnel Yr 2'!F11),"",'Personnel Yr 2'!F11),"")</f>
        <v/>
      </c>
      <c r="G11" s="22" t="str">
        <f>IF('Personnel Yr 1'!$J$5&gt;2,IF(ISBLANK('Personnel Yr 2'!G11),"",'Personnel Yr 2'!G11),"")</f>
        <v/>
      </c>
      <c r="H11" s="42" t="str">
        <f>IF('Personnel Yr 1'!$J$5&gt;2,IF(NOT(OR(ISBLANK('Personnel Yr 2'!H11),'Personnel Yr 2'!H11="")),(('Personnel Yr 2'!H11*'Personnel Yr 1'!$D$5)+'Personnel Yr 2'!H11),""),"")</f>
        <v/>
      </c>
      <c r="I11" s="22" t="str">
        <f>IF('Personnel Yr 1'!$J$5&gt;2,IF(AND(OR(ISBLANK(H11),H11=""),ISBLANK('Personnel Yr 2'!I11)),"",'Personnel Yr 2'!I11),"")</f>
        <v/>
      </c>
      <c r="J11" s="22" t="str">
        <f>IF('Personnel Yr 1'!$J$5&gt;2,IF(AND(OR(ISBLANK(I11),I11=""),ISBLANK('Personnel Yr 2'!J11)),"",'Personnel Yr 2'!J11),"")</f>
        <v/>
      </c>
      <c r="K11" s="22" t="str">
        <f>IF('Personnel Yr 1'!$J$5&gt;2,IF(AND(OR(ISBLANK(J11),J11=""),ISBLANK('Personnel Yr 2'!K11)),"",'Personnel Yr 2'!K11),"")</f>
        <v/>
      </c>
      <c r="L11" s="44" t="str">
        <f>IF('Personnel Yr 1'!$J$5&gt;2,IF(NOT(OR(ISBLANK(H11),H11="")), IF(OR(AND(ISBLANK(I11),ISBLANK(J11),ISBLANK(K11)),AND(I11="",J11="",K11="")),0, IF((AND((I11&gt;0),((J11+K11)&gt;0))),"Error", IF((I11&gt;0),ROUND((IF(AND('Personnel Yr 1'!$O$5&gt;0,H11&gt;'Personnel Yr 1'!$O$5),'Personnel Yr 1'!$O$5,H11)*(I11/12)),2),ROUND((IF(AND('Personnel Yr 1'!$O$5&gt;0,H11&gt;'Personnel Yr 1'!$O$5),'Personnel Yr 1'!$O$5,H11)*((J11+K11)/8.5)),2)))),""),"")</f>
        <v/>
      </c>
      <c r="M11" s="44" t="str">
        <f>IF('Personnel Yr 1'!$J$5&gt;2,IF(OR(ISBLANK(L11),L11=""),"",ROUND(SUM(T11:V11),2)),"")</f>
        <v/>
      </c>
      <c r="N11" s="51" t="str">
        <f>IF('Personnel Yr 1'!$J$5&gt;2,IF(OR(ISBLANK(M11),M11=""),"",ROUND(SUM(L11:M11),2)),"")</f>
        <v/>
      </c>
      <c r="O11" s="159"/>
      <c r="P11" s="336">
        <f>IF('Personnel Yr 1'!$J$5&gt;2,IF(NOT(OR(ISBLANK(I11),I11="")),(H11/12)*I11,""),0)</f>
        <v>0</v>
      </c>
      <c r="Q11" s="336">
        <f>IF('Personnel Yr 1'!$J$5&gt;2,IF(NOT(OR(ISBLANK(J11),J11="")),(H11/8.5)*J11,""),0)</f>
        <v>0</v>
      </c>
      <c r="R11" s="336">
        <f>IF('Personnel Yr 1'!$J$5&gt;2,IF(NOT(OR(ISBLANK(K11),K11="")),(H11/8.5)*K11,""),0)</f>
        <v>0</v>
      </c>
      <c r="T11" s="347">
        <f t="shared" si="0"/>
        <v>0</v>
      </c>
      <c r="U11" s="347">
        <f t="shared" si="0"/>
        <v>0</v>
      </c>
      <c r="V11" s="347">
        <f t="shared" si="1"/>
        <v>0</v>
      </c>
      <c r="X11" s="336">
        <v>11</v>
      </c>
      <c r="Y11" s="336" t="b">
        <f>IF('Personnel Yr 1'!$J$5&gt;2,IF(OR($N$5&lt;&gt;"Federal - NIH",OR(AND(ISBLANK(I11),ISBLANK(J11),ISBLANK(K11)),AND(I11="",J11="",K11=""))),FALSE,IF(I11&gt;0,H11&gt;NIHSalaryCap,H11&gt;(NIHSalaryCap*8.5)/12)),FALSE)</f>
        <v>0</v>
      </c>
    </row>
    <row r="12" spans="1:25" x14ac:dyDescent="0.2">
      <c r="A12" s="5">
        <v>6</v>
      </c>
      <c r="B12" s="6" t="str">
        <f>IF('Personnel Yr 1'!$J$5&gt;2,IF(NOT(OR(ISBLANK('Personnel Yr 2'!B12),'Personnel Yr 2'!B12="")),'Personnel Yr 2'!B12,""),"")</f>
        <v/>
      </c>
      <c r="C12" s="22" t="str">
        <f>IF('Personnel Yr 1'!$J$5&gt;2,IF(ISBLANK('Personnel Yr 2'!C12),"",'Personnel Yr 2'!C12),"")</f>
        <v/>
      </c>
      <c r="D12" s="22" t="str">
        <f>IF('Personnel Yr 1'!$J$5&gt;2,IF(ISBLANK('Personnel Yr 2'!D12),"",'Personnel Yr 2'!D12),"")</f>
        <v/>
      </c>
      <c r="E12" s="22" t="str">
        <f>IF('Personnel Yr 1'!$J$5&gt;2,IF(ISBLANK('Personnel Yr 2'!E12),"",'Personnel Yr 2'!E12),"")</f>
        <v/>
      </c>
      <c r="F12" s="22" t="str">
        <f>IF('Personnel Yr 1'!$J$5&gt;2,IF(ISBLANK('Personnel Yr 2'!F12),"",'Personnel Yr 2'!F12),"")</f>
        <v/>
      </c>
      <c r="G12" s="22" t="str">
        <f>IF('Personnel Yr 1'!$J$5&gt;2,IF(ISBLANK('Personnel Yr 2'!G12),"",'Personnel Yr 2'!G12),"")</f>
        <v/>
      </c>
      <c r="H12" s="42" t="str">
        <f>IF('Personnel Yr 1'!$J$5&gt;2,IF(NOT(OR(ISBLANK('Personnel Yr 2'!H12),'Personnel Yr 2'!H12="")),(('Personnel Yr 2'!H12*'Personnel Yr 1'!$D$5)+'Personnel Yr 2'!H12),""),"")</f>
        <v/>
      </c>
      <c r="I12" s="22" t="str">
        <f>IF('Personnel Yr 1'!$J$5&gt;2,IF(AND(OR(ISBLANK(H12),H12=""),ISBLANK('Personnel Yr 2'!I12)),"",'Personnel Yr 2'!I12),"")</f>
        <v/>
      </c>
      <c r="J12" s="22" t="str">
        <f>IF('Personnel Yr 1'!$J$5&gt;2,IF(AND(OR(ISBLANK(I12),I12=""),ISBLANK('Personnel Yr 2'!J12)),"",'Personnel Yr 2'!J12),"")</f>
        <v/>
      </c>
      <c r="K12" s="22" t="str">
        <f>IF('Personnel Yr 1'!$J$5&gt;2,IF(AND(OR(ISBLANK(J12),J12=""),ISBLANK('Personnel Yr 2'!K12)),"",'Personnel Yr 2'!K12),"")</f>
        <v/>
      </c>
      <c r="L12" s="44" t="str">
        <f>IF('Personnel Yr 1'!$J$5&gt;2,IF(NOT(OR(ISBLANK(H12),H12="")), IF(OR(AND(ISBLANK(I12),ISBLANK(J12),ISBLANK(K12)),AND(I12="",J12="",K12="")),0, IF((AND((I12&gt;0),((J12+K12)&gt;0))),"Error", IF((I12&gt;0),ROUND((IF(AND('Personnel Yr 1'!$O$5&gt;0,H12&gt;'Personnel Yr 1'!$O$5),'Personnel Yr 1'!$O$5,H12)*(I12/12)),2),ROUND((IF(AND('Personnel Yr 1'!$O$5&gt;0,H12&gt;'Personnel Yr 1'!$O$5),'Personnel Yr 1'!$O$5,H12)*((J12+K12)/8.5)),2)))),""),"")</f>
        <v/>
      </c>
      <c r="M12" s="44" t="str">
        <f>IF('Personnel Yr 1'!$J$5&gt;2,IF(OR(ISBLANK(L12),L12=""),"",ROUND(SUM(T12:V12),2)),"")</f>
        <v/>
      </c>
      <c r="N12" s="51" t="str">
        <f>IF('Personnel Yr 1'!$J$5&gt;2,IF(OR(ISBLANK(M12),M12=""),"",ROUND(SUM(L12:M12),2)),"")</f>
        <v/>
      </c>
      <c r="O12" s="159"/>
      <c r="P12" s="336">
        <f>IF('Personnel Yr 1'!$J$5&gt;2,IF(NOT(OR(ISBLANK(I12),I12="")),(H12/12)*I12,""),0)</f>
        <v>0</v>
      </c>
      <c r="Q12" s="336">
        <f>IF('Personnel Yr 1'!$J$5&gt;2,IF(NOT(OR(ISBLANK(J12),J12="")),(H12/8.5)*J12,""),0)</f>
        <v>0</v>
      </c>
      <c r="R12" s="336">
        <f>IF('Personnel Yr 1'!$J$5&gt;2,IF(NOT(OR(ISBLANK(K12),K12="")),(H12/8.5)*K12,""),0)</f>
        <v>0</v>
      </c>
      <c r="T12" s="347">
        <f t="shared" si="0"/>
        <v>0</v>
      </c>
      <c r="U12" s="347">
        <f t="shared" si="0"/>
        <v>0</v>
      </c>
      <c r="V12" s="347">
        <f t="shared" si="1"/>
        <v>0</v>
      </c>
      <c r="X12" s="336">
        <v>12</v>
      </c>
      <c r="Y12" s="336" t="b">
        <f>IF('Personnel Yr 1'!$J$5&gt;2,IF(OR($N$5&lt;&gt;"Federal - NIH",OR(AND(ISBLANK(I12),ISBLANK(J12),ISBLANK(K12)),AND(I12="",J12="",K12=""))),FALSE,IF(I12&gt;0,H12&gt;NIHSalaryCap,H12&gt;(NIHSalaryCap*8.5)/12)),FALSE)</f>
        <v>0</v>
      </c>
    </row>
    <row r="13" spans="1:25" x14ac:dyDescent="0.2">
      <c r="A13" s="5">
        <v>7</v>
      </c>
      <c r="B13" s="6" t="str">
        <f>IF('Personnel Yr 1'!$J$5&gt;2,IF(NOT(OR(ISBLANK('Personnel Yr 2'!B13),'Personnel Yr 2'!B13="")),'Personnel Yr 2'!B13,""),"")</f>
        <v/>
      </c>
      <c r="C13" s="22" t="str">
        <f>IF('Personnel Yr 1'!$J$5&gt;2,IF(ISBLANK('Personnel Yr 2'!C13),"",'Personnel Yr 2'!C13),"")</f>
        <v/>
      </c>
      <c r="D13" s="22" t="str">
        <f>IF('Personnel Yr 1'!$J$5&gt;2,IF(ISBLANK('Personnel Yr 2'!D13),"",'Personnel Yr 2'!D13),"")</f>
        <v/>
      </c>
      <c r="E13" s="22" t="str">
        <f>IF('Personnel Yr 1'!$J$5&gt;2,IF(ISBLANK('Personnel Yr 2'!E13),"",'Personnel Yr 2'!E13),"")</f>
        <v/>
      </c>
      <c r="F13" s="22" t="str">
        <f>IF('Personnel Yr 1'!$J$5&gt;2,IF(ISBLANK('Personnel Yr 2'!F13),"",'Personnel Yr 2'!F13),"")</f>
        <v/>
      </c>
      <c r="G13" s="22" t="str">
        <f>IF('Personnel Yr 1'!$J$5&gt;2,IF(ISBLANK('Personnel Yr 2'!G13),"",'Personnel Yr 2'!G13),"")</f>
        <v/>
      </c>
      <c r="H13" s="42" t="str">
        <f>IF('Personnel Yr 1'!$J$5&gt;2,IF(NOT(OR(ISBLANK('Personnel Yr 2'!H13),'Personnel Yr 2'!H13="")),(('Personnel Yr 2'!H13*'Personnel Yr 1'!$D$5)+'Personnel Yr 2'!H13),""),"")</f>
        <v/>
      </c>
      <c r="I13" s="22" t="str">
        <f>IF('Personnel Yr 1'!$J$5&gt;2,IF(AND(OR(ISBLANK(H13),H13=""),ISBLANK('Personnel Yr 2'!I13)),"",'Personnel Yr 2'!I13),"")</f>
        <v/>
      </c>
      <c r="J13" s="22" t="str">
        <f>IF('Personnel Yr 1'!$J$5&gt;2,IF(AND(OR(ISBLANK(I13),I13=""),ISBLANK('Personnel Yr 2'!J13)),"",'Personnel Yr 2'!J13),"")</f>
        <v/>
      </c>
      <c r="K13" s="22" t="str">
        <f>IF('Personnel Yr 1'!$J$5&gt;2,IF(AND(OR(ISBLANK(J13),J13=""),ISBLANK('Personnel Yr 2'!K13)),"",'Personnel Yr 2'!K13),"")</f>
        <v/>
      </c>
      <c r="L13" s="44" t="str">
        <f>IF('Personnel Yr 1'!$J$5&gt;2,IF(NOT(OR(ISBLANK(H13),H13="")), IF(OR(AND(ISBLANK(I13),ISBLANK(J13),ISBLANK(K13)),AND(I13="",J13="",K13="")),0, IF((AND((I13&gt;0),((J13+K13)&gt;0))),"Error", IF((I13&gt;0),ROUND((IF(AND('Personnel Yr 1'!$O$5&gt;0,H13&gt;'Personnel Yr 1'!$O$5),'Personnel Yr 1'!$O$5,H13)*(I13/12)),2),ROUND((IF(AND('Personnel Yr 1'!$O$5&gt;0,H13&gt;'Personnel Yr 1'!$O$5),'Personnel Yr 1'!$O$5,H13)*((J13+K13)/8.5)),2)))),""),"")</f>
        <v/>
      </c>
      <c r="M13" s="44" t="str">
        <f>IF('Personnel Yr 1'!$J$5&gt;2,IF(OR(ISBLANK(L13),L13=""),"",ROUND(SUM(T13:V13),2)),"")</f>
        <v/>
      </c>
      <c r="N13" s="51" t="str">
        <f>IF('Personnel Yr 1'!$J$5&gt;2,IF(OR(ISBLANK(M13),M13=""),"",ROUND(SUM(L13:M13),2)),"")</f>
        <v/>
      </c>
      <c r="O13" s="157"/>
      <c r="P13" s="336">
        <f>IF('Personnel Yr 1'!$J$5&gt;2,IF(NOT(OR(ISBLANK(I13),I13="")),(H13/12)*I13,""),0)</f>
        <v>0</v>
      </c>
      <c r="Q13" s="336">
        <f>IF('Personnel Yr 1'!$J$5&gt;2,IF(NOT(OR(ISBLANK(J13),J13="")),(H13/8.5)*J13,""),0)</f>
        <v>0</v>
      </c>
      <c r="R13" s="336">
        <f>IF('Personnel Yr 1'!$J$5&gt;2,IF(NOT(OR(ISBLANK(K13),K13="")),(H13/8.5)*K13,""),0)</f>
        <v>0</v>
      </c>
      <c r="T13" s="347">
        <f t="shared" si="0"/>
        <v>0</v>
      </c>
      <c r="U13" s="347">
        <f t="shared" si="0"/>
        <v>0</v>
      </c>
      <c r="V13" s="347">
        <f t="shared" si="1"/>
        <v>0</v>
      </c>
      <c r="X13" s="336">
        <v>13</v>
      </c>
      <c r="Y13" s="336" t="b">
        <f>IF('Personnel Yr 1'!$J$5&gt;2,IF(OR($N$5&lt;&gt;"Federal - NIH",OR(AND(ISBLANK(I13),ISBLANK(J13),ISBLANK(K13)),AND(I13="",J13="",K13=""))),FALSE,IF(I13&gt;0,H13&gt;NIHSalaryCap,H13&gt;(NIHSalaryCap*8.5)/12)),FALSE)</f>
        <v>0</v>
      </c>
    </row>
    <row r="14" spans="1:25" ht="13.5" thickBot="1" x14ac:dyDescent="0.25">
      <c r="A14" s="5">
        <v>8</v>
      </c>
      <c r="B14" s="7" t="str">
        <f>IF('Personnel Yr 1'!$J$5&gt;2,IF(NOT(OR(ISBLANK('Personnel Yr 2'!B14),'Personnel Yr 2'!B14="")),'Personnel Yr 2'!B14,""),"")</f>
        <v/>
      </c>
      <c r="C14" s="29" t="str">
        <f>IF('Personnel Yr 1'!$J$5&gt;2,IF(ISBLANK('Personnel Yr 2'!C14),"",'Personnel Yr 2'!C14),"")</f>
        <v/>
      </c>
      <c r="D14" s="29" t="str">
        <f>IF('Personnel Yr 1'!$J$5&gt;2,IF(ISBLANK('Personnel Yr 2'!D14),"",'Personnel Yr 2'!D14),"")</f>
        <v/>
      </c>
      <c r="E14" s="29" t="str">
        <f>IF('Personnel Yr 1'!$J$5&gt;2,IF(ISBLANK('Personnel Yr 2'!E14),"",'Personnel Yr 2'!E14),"")</f>
        <v/>
      </c>
      <c r="F14" s="29" t="str">
        <f>IF('Personnel Yr 1'!$J$5&gt;2,IF(ISBLANK('Personnel Yr 2'!F14),"",'Personnel Yr 2'!F14),"")</f>
        <v/>
      </c>
      <c r="G14" s="29" t="str">
        <f>IF('Personnel Yr 1'!$J$5&gt;2,IF(ISBLANK('Personnel Yr 2'!G14),"",'Personnel Yr 2'!G14),"")</f>
        <v/>
      </c>
      <c r="H14" s="43" t="str">
        <f>IF('Personnel Yr 1'!$J$5&gt;2,IF(NOT(OR(ISBLANK('Personnel Yr 2'!H14),'Personnel Yr 2'!H14="")),(('Personnel Yr 2'!H14*'Personnel Yr 1'!$D$5)+'Personnel Yr 2'!H14),""),"")</f>
        <v/>
      </c>
      <c r="I14" s="29" t="str">
        <f>IF('Personnel Yr 1'!$J$5&gt;2,IF(AND(OR(ISBLANK(H14),H14=""),ISBLANK('Personnel Yr 2'!I14)),"",'Personnel Yr 2'!I14),"")</f>
        <v/>
      </c>
      <c r="J14" s="29" t="str">
        <f>IF('Personnel Yr 1'!$J$5&gt;2,IF(AND(OR(ISBLANK(I14),I14=""),ISBLANK('Personnel Yr 2'!J14)),"",'Personnel Yr 2'!J14),"")</f>
        <v/>
      </c>
      <c r="K14" s="29" t="str">
        <f>IF('Personnel Yr 1'!$J$5&gt;2,IF(AND(OR(ISBLANK(J14),J14=""),ISBLANK('Personnel Yr 2'!K14)),"",'Personnel Yr 2'!K14),"")</f>
        <v/>
      </c>
      <c r="L14" s="52" t="str">
        <f>IF('Personnel Yr 1'!$J$5&gt;2,IF(NOT(OR(ISBLANK(H14),H14="")), IF(OR(AND(ISBLANK(I14),ISBLANK(J14),ISBLANK(K14)),AND(I14="",J14="",K14="")),0, IF((AND((I14&gt;0),((J14+K14)&gt;0))),"Error", IF((I14&gt;0),ROUND((IF(AND('Personnel Yr 1'!$O$5&gt;0,H14&gt;'Personnel Yr 1'!$O$5),'Personnel Yr 1'!$O$5,H14)*(I14/12)),2),ROUND((IF(AND('Personnel Yr 1'!$O$5&gt;0,H14&gt;'Personnel Yr 1'!$O$5),'Personnel Yr 1'!$O$5,H14)*((J14+K14)/8.5)),2)))),""),"")</f>
        <v/>
      </c>
      <c r="M14" s="49" t="str">
        <f>IF('Personnel Yr 1'!$J$5&gt;2,IF(OR(ISBLANK(L14),L14=""),"",ROUND(SUM(T14:V14),2)),"")</f>
        <v/>
      </c>
      <c r="N14" s="50" t="str">
        <f>IF('Personnel Yr 1'!$J$5&gt;2,IF(OR(ISBLANK(M14),M14=""),"",ROUND(SUM(L14:M14),2)),"")</f>
        <v/>
      </c>
      <c r="O14" s="161"/>
      <c r="P14" s="336">
        <f>IF('Personnel Yr 1'!$J$5&gt;2,IF(NOT(OR(ISBLANK(I14),I14="")),(H14/12)*I14,""),0)</f>
        <v>0</v>
      </c>
      <c r="Q14" s="336">
        <f>IF('Personnel Yr 1'!$J$5&gt;2,IF(NOT(OR(ISBLANK(J14),J14="")),(H14/8.5)*J14,""),0)</f>
        <v>0</v>
      </c>
      <c r="R14" s="336">
        <f>IF('Personnel Yr 1'!$J$5&gt;2,IF(NOT(OR(ISBLANK(K14),K14="")),(H14/8.5)*K14,""),0)</f>
        <v>0</v>
      </c>
      <c r="T14" s="347">
        <f t="shared" si="0"/>
        <v>0</v>
      </c>
      <c r="U14" s="347">
        <f t="shared" si="0"/>
        <v>0</v>
      </c>
      <c r="V14" s="347">
        <f t="shared" si="1"/>
        <v>0</v>
      </c>
      <c r="X14" s="336">
        <v>14</v>
      </c>
      <c r="Y14" s="336" t="b">
        <f>IF('Personnel Yr 1'!$J$5&gt;2,IF(OR($N$5&lt;&gt;"Federal - NIH",OR(AND(ISBLANK(I14),ISBLANK(J14),ISBLANK(K14)),AND(I14="",J14="",K14=""))),FALSE,IF(I14&gt;0,H14&gt;NIHSalaryCap,H14&gt;(NIHSalaryCap*8.5)/12)),FALSE)</f>
        <v>0</v>
      </c>
    </row>
    <row r="15" spans="1:25" ht="13.5" thickBot="1" x14ac:dyDescent="0.25">
      <c r="A15" s="5">
        <v>9</v>
      </c>
      <c r="B15" s="27">
        <f>B59</f>
        <v>0</v>
      </c>
      <c r="C15" s="563" t="s">
        <v>52</v>
      </c>
      <c r="D15" s="563"/>
      <c r="E15" s="563"/>
      <c r="F15" s="563"/>
      <c r="G15" s="573" t="s">
        <v>63</v>
      </c>
      <c r="H15" s="573"/>
      <c r="I15" s="573"/>
      <c r="J15" s="573"/>
      <c r="K15" s="573"/>
      <c r="L15" s="573"/>
      <c r="M15" s="574"/>
      <c r="N15" s="56">
        <f>N59</f>
        <v>0</v>
      </c>
      <c r="P15" s="336">
        <f>SUM(P7:P14)</f>
        <v>0</v>
      </c>
      <c r="Q15" s="336">
        <f t="shared" ref="Q15:V15" si="2">SUM(Q7:Q14)</f>
        <v>0</v>
      </c>
      <c r="R15" s="336">
        <f t="shared" si="2"/>
        <v>0</v>
      </c>
      <c r="T15" s="336">
        <f t="shared" si="2"/>
        <v>0</v>
      </c>
      <c r="U15" s="336">
        <f t="shared" si="2"/>
        <v>0</v>
      </c>
      <c r="V15" s="336">
        <f t="shared" si="2"/>
        <v>0</v>
      </c>
    </row>
    <row r="16" spans="1:25" ht="13.5" thickBot="1" x14ac:dyDescent="0.25">
      <c r="B16" s="27">
        <f>SUM(ROWS(E7:E14)-COUNTIF(E7:E14,""),B15)</f>
        <v>0</v>
      </c>
      <c r="C16" s="569" t="s">
        <v>51</v>
      </c>
      <c r="D16" s="570"/>
      <c r="E16" s="570"/>
      <c r="F16" s="570"/>
      <c r="G16" s="9"/>
      <c r="H16" s="10"/>
      <c r="I16" s="10"/>
      <c r="J16" s="571" t="s">
        <v>34</v>
      </c>
      <c r="K16" s="571"/>
      <c r="L16" s="571"/>
      <c r="M16" s="572"/>
      <c r="N16" s="48">
        <f>SUM(N7:N15)</f>
        <v>0</v>
      </c>
    </row>
    <row r="17" spans="2:26" x14ac:dyDescent="0.2">
      <c r="B17" s="9"/>
      <c r="C17" s="9"/>
      <c r="D17" s="9"/>
      <c r="E17" s="9"/>
      <c r="F17" s="9"/>
      <c r="G17" s="9"/>
      <c r="H17" s="10"/>
      <c r="I17" s="10"/>
      <c r="J17" s="11"/>
      <c r="K17" s="11"/>
      <c r="L17" s="11"/>
      <c r="M17" s="11"/>
      <c r="N17" s="10"/>
    </row>
    <row r="18" spans="2:26" x14ac:dyDescent="0.2">
      <c r="B18" s="9"/>
      <c r="C18" s="9"/>
      <c r="D18" s="9"/>
      <c r="E18" s="9"/>
      <c r="F18" s="9"/>
      <c r="G18" s="9"/>
      <c r="H18" s="9"/>
      <c r="I18" s="9"/>
      <c r="J18" s="11"/>
      <c r="K18" s="11"/>
      <c r="L18" s="11"/>
      <c r="M18" s="11"/>
      <c r="N18" s="9"/>
    </row>
    <row r="19" spans="2:26" x14ac:dyDescent="0.2">
      <c r="B19" s="575" t="s">
        <v>6</v>
      </c>
      <c r="C19" s="575"/>
      <c r="D19" s="576" t="s">
        <v>96</v>
      </c>
      <c r="E19" s="576"/>
      <c r="F19" s="576"/>
      <c r="G19" s="576"/>
      <c r="H19" s="576"/>
      <c r="I19" s="576"/>
      <c r="J19" s="576"/>
      <c r="K19" s="576"/>
    </row>
    <row r="20" spans="2:26" ht="26.25" thickBot="1" x14ac:dyDescent="0.25">
      <c r="B20" s="13" t="s">
        <v>7</v>
      </c>
      <c r="C20" s="14"/>
      <c r="D20" s="14"/>
      <c r="E20" s="14"/>
      <c r="F20" s="14"/>
      <c r="G20" s="14"/>
      <c r="H20" s="15" t="s">
        <v>65</v>
      </c>
      <c r="I20" s="15" t="s">
        <v>60</v>
      </c>
      <c r="J20" s="15" t="s">
        <v>61</v>
      </c>
      <c r="K20" s="15" t="s">
        <v>62</v>
      </c>
      <c r="L20" s="15" t="s">
        <v>44</v>
      </c>
      <c r="M20" s="40" t="s">
        <v>45</v>
      </c>
      <c r="N20" s="40" t="s">
        <v>41</v>
      </c>
      <c r="O20" s="3" t="s">
        <v>234</v>
      </c>
    </row>
    <row r="21" spans="2:26" x14ac:dyDescent="0.2">
      <c r="B21" s="16" t="str">
        <f>IF('Personnel Yr 1'!$J$5&gt;2,IF(OR(ISBLANK('Personnel Yr 2'!B21),'Personnel Yr 2'!B21=""),"",'Personnel Yr 2'!B21),"")</f>
        <v/>
      </c>
      <c r="C21" s="578" t="s">
        <v>8</v>
      </c>
      <c r="D21" s="578"/>
      <c r="E21" s="578"/>
      <c r="F21" s="578"/>
      <c r="G21" s="578"/>
      <c r="H21" s="579"/>
      <c r="I21" s="17" t="str">
        <f>IF('Personnel Yr 1'!$J$5&gt;2,IF(OR(ISBLANK('Personnel Yr 2'!I21),'Personnel Yr 2'!I21=""),"",'Personnel Yr 2'!I21),"")</f>
        <v/>
      </c>
      <c r="J21" s="17" t="str">
        <f>IF('Personnel Yr 1'!$J$5&gt;2,IF(OR(ISBLANK('Personnel Yr 2'!J21),'Personnel Yr 2'!J21=""),"",'Personnel Yr 2'!J21),"")</f>
        <v/>
      </c>
      <c r="K21" s="17" t="str">
        <f>IF('Personnel Yr 1'!$J$5&gt;2,IF(OR(ISBLANK('Personnel Yr 2'!K21),'Personnel Yr 2'!K21=""),"",'Personnel Yr 2'!K21),"")</f>
        <v/>
      </c>
      <c r="L21" s="41" t="str">
        <f>IF('Personnel Yr 1'!$J$5&gt;2,IF(NOT(OR(ISBLANK('Personnel Yr 2'!L21),'Personnel Yr 2'!L21="")),(('Personnel Yr 2'!L21*'Personnel Yr 1'!$D$5)+'Personnel Yr 2'!L21),""),"")</f>
        <v/>
      </c>
      <c r="M21" s="49" t="str">
        <f>IF('Personnel Yr 1'!$J$5&gt;2,IF(OR(ISBLANK(L21),L21=""),"",ROUND(L21*LOOKUP("Full",Ben,Per),2)),"")</f>
        <v/>
      </c>
      <c r="N21" s="272" t="str">
        <f>IF('Personnel Yr 1'!$J$5&gt;2,IF(OR(ISBLANK(L21),L21=""),"",ROUND(SUM(L21:M21),2)),"")</f>
        <v/>
      </c>
      <c r="O21" s="162"/>
    </row>
    <row r="22" spans="2:26" x14ac:dyDescent="0.2">
      <c r="B22" s="18" t="str">
        <f>IF('Personnel Yr 1'!$J$5&gt;2,IF(OR(ISBLANK('Personnel Yr 2'!B22),'Personnel Yr 2'!B22=""),"",'Personnel Yr 2'!B22),"")</f>
        <v/>
      </c>
      <c r="C22" s="580" t="s">
        <v>73</v>
      </c>
      <c r="D22" s="581"/>
      <c r="E22" s="581"/>
      <c r="F22" s="581"/>
      <c r="G22" s="581"/>
      <c r="H22" s="583"/>
      <c r="I22" s="19" t="str">
        <f>IF('Personnel Yr 1'!$J$5&gt;2,IF(OR(ISBLANK('Personnel Yr 2'!I22),'Personnel Yr 2'!I22=""),"",'Personnel Yr 2'!I22),"")</f>
        <v/>
      </c>
      <c r="J22" s="19" t="str">
        <f>IF('Personnel Yr 1'!$J$5&gt;2,IF(OR(ISBLANK('Personnel Yr 2'!J22),'Personnel Yr 2'!J22=""),"",'Personnel Yr 2'!J22),"")</f>
        <v/>
      </c>
      <c r="K22" s="19" t="str">
        <f>IF('Personnel Yr 1'!$J$5&gt;2,IF(OR(ISBLANK('Personnel Yr 2'!K22),'Personnel Yr 2'!K22=""),"",'Personnel Yr 2'!K22),"")</f>
        <v/>
      </c>
      <c r="L22" s="53" t="str">
        <f>IF('Personnel Yr 1'!$J$5&gt;2,IF(NOT(OR(ISBLANK('Personnel Yr 2'!L22),'Personnel Yr 2'!L22="")),(('Personnel Yr 2'!L22*'Personnel Yr 1'!$D$5)+'Personnel Yr 2'!L22),""),"")</f>
        <v/>
      </c>
      <c r="M22" s="49" t="str">
        <f>IF('Personnel Yr 1'!$J$5&gt;2,IF(OR(ISBLANK(L22),L22=""),"",ROUND(L22*LOOKUP("Full",Ben,Per),2)),"")</f>
        <v/>
      </c>
      <c r="N22" s="272" t="str">
        <f>IF('Personnel Yr 1'!$J$5&gt;2,IF(OR(ISBLANK(L22),L22=""),"",ROUND(SUM(L22:M22),2)),"")</f>
        <v/>
      </c>
      <c r="O22" s="165"/>
    </row>
    <row r="23" spans="2:26" x14ac:dyDescent="0.2">
      <c r="B23" s="20" t="str">
        <f>IF('Personnel Yr 1'!$J$5&gt;2,IF(OR(ISBLANK('Personnel Yr 2'!B23),'Personnel Yr 2'!B23=""),"",'Personnel Yr 2'!B23),"")</f>
        <v/>
      </c>
      <c r="C23" s="580" t="s">
        <v>9</v>
      </c>
      <c r="D23" s="581"/>
      <c r="E23" s="581"/>
      <c r="F23" s="581"/>
      <c r="G23" s="429"/>
      <c r="H23" s="68" t="str">
        <f>IF('Personnel Yr 1'!$J$5&gt;2,IF(OR(ISBLANK('Personnel Yr 2'!H23),'Personnel Yr 2'!H23=""),"",'Personnel Yr 2'!H23),"")</f>
        <v/>
      </c>
      <c r="I23" s="21" t="str">
        <f>IF('Personnel Yr 1'!$J$5&gt;2,IF(OR(ISBLANK('Personnel Yr 2'!I23),'Personnel Yr 2'!I23=""),"",'Personnel Yr 2'!I23),"")</f>
        <v/>
      </c>
      <c r="J23" s="21" t="str">
        <f>IF('Personnel Yr 1'!$J$5&gt;2,IF(OR(ISBLANK('Personnel Yr 2'!J23),'Personnel Yr 2'!J23=""),"",'Personnel Yr 2'!J23),"")</f>
        <v/>
      </c>
      <c r="K23" s="21" t="str">
        <f>IF('Personnel Yr 1'!$J$5&gt;2,IF(OR(ISBLANK('Personnel Yr 2'!K23),'Personnel Yr 2'!K23=""),"",'Personnel Yr 2'!K23),"")</f>
        <v/>
      </c>
      <c r="L23" s="42" t="str">
        <f>IF('Personnel Yr 1'!$J$5&gt;2,IF(NOT(OR(ISBLANK('Personnel Yr 2'!L23),'Personnel Yr 2'!L23="")),(('Personnel Yr 2'!L23*'Personnel Yr 1'!$D$5)+'Personnel Yr 2'!L23),""),"")</f>
        <v/>
      </c>
      <c r="M23" s="47" t="str">
        <f>IF('Personnel Yr 1'!$J$5&gt;2,IF(OR(ISBLANK(L23),L23=""),"",ROUND(L23*LOOKUP(H23,Grad,GradR),2)),"")</f>
        <v/>
      </c>
      <c r="N23" s="272" t="str">
        <f>IF('Personnel Yr 1'!$J$5&gt;2,IF(OR(ISBLANK(L23),L23=""),"",ROUND(SUM(L23:M23),2)),"")</f>
        <v/>
      </c>
      <c r="O23" s="165"/>
    </row>
    <row r="24" spans="2:26" x14ac:dyDescent="0.2">
      <c r="B24" s="20" t="str">
        <f>IF('Personnel Yr 1'!$J$5&gt;2,IF(OR(ISBLANK('Personnel Yr 2'!B24),'Personnel Yr 2'!B24=""),"",'Personnel Yr 2'!B24),"")</f>
        <v/>
      </c>
      <c r="C24" s="581" t="s">
        <v>10</v>
      </c>
      <c r="D24" s="581"/>
      <c r="E24" s="581"/>
      <c r="F24" s="581"/>
      <c r="G24" s="581"/>
      <c r="H24" s="582"/>
      <c r="I24" s="22" t="str">
        <f>IF('Personnel Yr 1'!$J$5&gt;2,IF(OR(ISBLANK('Personnel Yr 2'!I24),'Personnel Yr 2'!I24=""),"",'Personnel Yr 2'!I24),"")</f>
        <v/>
      </c>
      <c r="J24" s="22" t="str">
        <f>IF('Personnel Yr 1'!$J$5&gt;2,IF(OR(ISBLANK('Personnel Yr 2'!J24),'Personnel Yr 2'!J24=""),"",'Personnel Yr 2'!J24),"")</f>
        <v/>
      </c>
      <c r="K24" s="22" t="str">
        <f>IF('Personnel Yr 1'!$J$5&gt;2,IF(OR(ISBLANK('Personnel Yr 2'!K24),'Personnel Yr 2'!K24=""),"",'Personnel Yr 2'!K24),"")</f>
        <v/>
      </c>
      <c r="L24" s="54" t="str">
        <f>IF('Personnel Yr 1'!$J$5&gt;2,IF(NOT(OR(ISBLANK('Personnel Yr 2'!L24),'Personnel Yr 2'!L24="")),(('Personnel Yr 2'!L24*'Personnel Yr 1'!$D$5)+'Personnel Yr 2'!L24),""),"")</f>
        <v/>
      </c>
      <c r="M24" s="47" t="str">
        <f>IF('Personnel Yr 1'!$J$5&gt;2,IF(OR(ISBLANK(L24),L24=""),"",ROUND(L24*LOOKUP("Temp",Ben,Per),2)),"")</f>
        <v/>
      </c>
      <c r="N24" s="272" t="str">
        <f>IF('Personnel Yr 1'!$J$5&gt;2,IF(OR(ISBLANK(L24),L24=""),"",ROUND(SUM(L24:M24),2)),"")</f>
        <v/>
      </c>
      <c r="O24" s="165"/>
    </row>
    <row r="25" spans="2:26" x14ac:dyDescent="0.2">
      <c r="B25" s="20" t="str">
        <f>IF('Personnel Yr 1'!$J$5&gt;2,IF(OR(ISBLANK('Personnel Yr 2'!B25),'Personnel Yr 2'!B25=""),"",'Personnel Yr 2'!B25),"")</f>
        <v/>
      </c>
      <c r="C25" s="617" t="s">
        <v>504</v>
      </c>
      <c r="D25" s="581"/>
      <c r="E25" s="581"/>
      <c r="F25" s="581"/>
      <c r="G25" s="581"/>
      <c r="H25" s="582"/>
      <c r="I25" s="22" t="str">
        <f>IF('Personnel Yr 1'!$J$5&gt;2,IF(OR(ISBLANK('Personnel Yr 2'!I25),'Personnel Yr 2'!I25=""),"",'Personnel Yr 2'!I25),"")</f>
        <v/>
      </c>
      <c r="J25" s="22" t="str">
        <f>IF('Personnel Yr 1'!$J$5&gt;2,IF(OR(ISBLANK('Personnel Yr 2'!J25),'Personnel Yr 2'!J25=""),"",'Personnel Yr 2'!J25),"")</f>
        <v/>
      </c>
      <c r="K25" s="22" t="str">
        <f>IF('Personnel Yr 1'!$J$5&gt;2,IF(OR(ISBLANK('Personnel Yr 2'!K25),'Personnel Yr 2'!K25=""),"",'Personnel Yr 2'!K25),"")</f>
        <v/>
      </c>
      <c r="L25" s="54" t="str">
        <f>IF('Personnel Yr 1'!$J$5&gt;2,IF(NOT(OR(ISBLANK('Personnel Yr 2'!L25),'Personnel Yr 2'!L25="")),(('Personnel Yr 2'!L25*'Personnel Yr 1'!$D$5)+'Personnel Yr 2'!L25),""),"")</f>
        <v/>
      </c>
      <c r="M25" s="47" t="str">
        <f>IF('Personnel Yr 1'!$J$5&gt;2,IF(OR(ISBLANK(L25),L25=""),"",ROUND(L25*LOOKUP("Full",Ben,Per),2)),"")</f>
        <v/>
      </c>
      <c r="N25" s="272" t="str">
        <f>IF('Personnel Yr 1'!$J$5&gt;2,IF(OR(ISBLANK(L25),L25=""),"",ROUND(SUM(L25:M25),2)),"")</f>
        <v/>
      </c>
      <c r="O25" s="165"/>
    </row>
    <row r="26" spans="2:26" x14ac:dyDescent="0.2">
      <c r="B26" s="20" t="str">
        <f>IF('Personnel Yr 1'!$J$5&gt;2,IF(OR(ISBLANK('Personnel Yr 2'!B26),'Personnel Yr 2'!B26=""),"",'Personnel Yr 2'!B26),"")</f>
        <v/>
      </c>
      <c r="C26" s="581" t="s">
        <v>72</v>
      </c>
      <c r="D26" s="581"/>
      <c r="E26" s="581"/>
      <c r="F26" s="581"/>
      <c r="G26" s="581"/>
      <c r="H26" s="582"/>
      <c r="I26" s="22" t="str">
        <f>IF('Personnel Yr 1'!$J$5&gt;2,IF(OR(ISBLANK('Personnel Yr 2'!I26),'Personnel Yr 2'!I26=""),"",'Personnel Yr 2'!I26),"")</f>
        <v/>
      </c>
      <c r="J26" s="22" t="str">
        <f>IF('Personnel Yr 1'!$J$5&gt;2,IF(OR(ISBLANK('Personnel Yr 2'!J26),'Personnel Yr 2'!J26=""),"",'Personnel Yr 2'!J26),"")</f>
        <v/>
      </c>
      <c r="K26" s="22" t="str">
        <f>IF('Personnel Yr 1'!$J$5&gt;2,IF(OR(ISBLANK('Personnel Yr 2'!K26),'Personnel Yr 2'!K26=""),"",'Personnel Yr 2'!K26),"")</f>
        <v/>
      </c>
      <c r="L26" s="54" t="str">
        <f>IF('Personnel Yr 1'!$J$5&gt;2,IF(NOT(OR(ISBLANK('Personnel Yr 2'!L26),'Personnel Yr 2'!L26="")),(('Personnel Yr 2'!L26*'Personnel Yr 1'!$D$5)+'Personnel Yr 2'!L26),""),"")</f>
        <v/>
      </c>
      <c r="M26" s="44" t="str">
        <f>IF('Personnel Yr 1'!$J$5&gt;2,IF(OR(ISBLANK(L26),L26=""),"",ROUND(L26*LOOKUP("Temp",Ben,Per),2)),"")</f>
        <v/>
      </c>
      <c r="N26" s="273" t="str">
        <f>IF('Personnel Yr 1'!$J$5&gt;2,IF(OR(ISBLANK(L26),L26=""),"",ROUND(SUM(L26:M26),2)),"")</f>
        <v/>
      </c>
      <c r="O26" s="271"/>
    </row>
    <row r="27" spans="2:26" s="257" customFormat="1" x14ac:dyDescent="0.2">
      <c r="B27" s="20"/>
      <c r="C27" s="589" t="s">
        <v>421</v>
      </c>
      <c r="D27" s="588"/>
      <c r="E27" s="588"/>
      <c r="F27" s="588"/>
      <c r="G27" s="588"/>
      <c r="H27" s="588"/>
      <c r="I27" s="22"/>
      <c r="J27" s="22"/>
      <c r="K27" s="22"/>
      <c r="L27" s="54" t="str">
        <f>IF('Personnel Yr 1'!$J$5&gt;2,IF(NOT(OR(ISBLANK('Personnel Yr 2'!L27),'Personnel Yr 2'!L27="")),(('Personnel Yr 2'!L27*'Personnel Yr 1'!$D$5)+'Personnel Yr 2'!L27),""),"")</f>
        <v/>
      </c>
      <c r="M27" s="44" t="str">
        <f>IF('Personnel Yr 1'!$J$5&gt;2,IF(OR(ISBLANK(L27),L27=""),"",ROUND(L27*LOOKUP("Temp",Ben,Per),2)),"")</f>
        <v/>
      </c>
      <c r="N27" s="273" t="str">
        <f>IF('Personnel Yr 1'!$J$5&gt;2,IF(OR(ISBLANK(L27),L27=""),"",ROUND(SUM(L27:M27),2)),"")</f>
        <v/>
      </c>
      <c r="O27" s="20"/>
      <c r="P27" s="336"/>
      <c r="Q27" s="336"/>
      <c r="R27" s="336"/>
      <c r="S27" s="336"/>
      <c r="T27" s="336"/>
      <c r="U27" s="336"/>
      <c r="V27" s="336"/>
      <c r="W27" s="336"/>
      <c r="X27" s="336"/>
      <c r="Y27" s="336"/>
      <c r="Z27" s="338"/>
    </row>
    <row r="28" spans="2:26" s="257" customFormat="1" ht="13.5" thickBot="1" x14ac:dyDescent="0.25">
      <c r="B28" s="164"/>
      <c r="C28" s="590" t="s">
        <v>422</v>
      </c>
      <c r="D28" s="591"/>
      <c r="E28" s="591"/>
      <c r="F28" s="591"/>
      <c r="G28" s="591"/>
      <c r="H28" s="591"/>
      <c r="I28" s="29"/>
      <c r="J28" s="29"/>
      <c r="K28" s="29"/>
      <c r="L28" s="54" t="str">
        <f>IF('Personnel Yr 1'!$J$5&gt;2,IF(NOT(OR(ISBLANK('Personnel Yr 2'!L28),'Personnel Yr 2'!L28="")),(('Personnel Yr 2'!L28*'Personnel Yr 1'!$D$5)+'Personnel Yr 2'!L28),""),"")</f>
        <v/>
      </c>
      <c r="M28" s="52" t="str">
        <f>IF('Personnel Yr 1'!$J$5&gt;2,IF(OR(ISBLANK(L28),L28=""),"",ROUND(L28*LOOKUP("Adjunct",Ben,Per),2)),"")</f>
        <v/>
      </c>
      <c r="N28" s="274" t="str">
        <f>IF('Personnel Yr 1'!$J$5&gt;2,IF(OR(ISBLANK(L28),L28=""),"",ROUND(SUM(L28:M28),2)),"")</f>
        <v/>
      </c>
      <c r="O28" s="164"/>
      <c r="P28" s="336"/>
      <c r="Q28" s="336"/>
      <c r="R28" s="336"/>
      <c r="S28" s="336"/>
      <c r="T28" s="336"/>
      <c r="U28" s="336"/>
      <c r="V28" s="336"/>
      <c r="W28" s="336"/>
      <c r="X28" s="336"/>
      <c r="Y28" s="336"/>
      <c r="Z28" s="338"/>
    </row>
    <row r="29" spans="2:26" ht="13.5" thickBot="1" x14ac:dyDescent="0.25">
      <c r="B29" s="27">
        <f>SUM(B21:B26)</f>
        <v>0</v>
      </c>
      <c r="C29" s="618" t="s">
        <v>11</v>
      </c>
      <c r="D29" s="563"/>
      <c r="E29" s="563"/>
      <c r="F29" s="563"/>
      <c r="G29" s="23"/>
      <c r="H29" s="23"/>
      <c r="I29" s="573" t="s">
        <v>12</v>
      </c>
      <c r="J29" s="619"/>
      <c r="K29" s="619"/>
      <c r="L29" s="619"/>
      <c r="M29" s="620"/>
      <c r="N29" s="56">
        <f>ROUND(SUM(N21:N28),2)</f>
        <v>0</v>
      </c>
    </row>
    <row r="30" spans="2:26" ht="13.5" thickBot="1" x14ac:dyDescent="0.25">
      <c r="B30" s="9"/>
      <c r="C30" s="24"/>
      <c r="D30" s="24"/>
      <c r="E30" s="24"/>
      <c r="F30" s="24"/>
      <c r="G30" s="24"/>
      <c r="H30" s="25"/>
      <c r="I30" s="571" t="s">
        <v>13</v>
      </c>
      <c r="J30" s="571"/>
      <c r="K30" s="571"/>
      <c r="L30" s="571"/>
      <c r="M30" s="572"/>
      <c r="N30" s="48">
        <f>ROUND(SUM(N16,N29),2)</f>
        <v>0</v>
      </c>
    </row>
    <row r="32" spans="2:26" ht="13.5" thickBot="1" x14ac:dyDescent="0.25">
      <c r="G32" s="339"/>
    </row>
    <row r="33" spans="1:25" ht="12.75" customHeight="1" x14ac:dyDescent="0.2">
      <c r="G33" s="339"/>
      <c r="H33" s="555" t="s">
        <v>235</v>
      </c>
      <c r="I33" s="556"/>
      <c r="J33" s="556"/>
      <c r="K33" s="556"/>
      <c r="L33" s="557"/>
    </row>
    <row r="34" spans="1:25" ht="12.75" customHeight="1" thickBot="1" x14ac:dyDescent="0.25">
      <c r="G34" s="339"/>
      <c r="H34" s="558"/>
      <c r="I34" s="559"/>
      <c r="J34" s="559"/>
      <c r="K34" s="559"/>
      <c r="L34" s="560"/>
    </row>
    <row r="35" spans="1:25" ht="12.75" customHeight="1" x14ac:dyDescent="0.2">
      <c r="G35" s="339"/>
      <c r="H35" s="546" t="s">
        <v>240</v>
      </c>
      <c r="I35" s="609"/>
      <c r="J35" s="609"/>
      <c r="K35" s="609"/>
      <c r="L35" s="610"/>
    </row>
    <row r="36" spans="1:25" ht="12.75" customHeight="1" x14ac:dyDescent="0.2">
      <c r="G36" s="339"/>
      <c r="H36" s="611"/>
      <c r="I36" s="612"/>
      <c r="J36" s="612"/>
      <c r="K36" s="612"/>
      <c r="L36" s="613"/>
    </row>
    <row r="37" spans="1:25" ht="12.75" customHeight="1" x14ac:dyDescent="0.2">
      <c r="G37" s="339"/>
      <c r="H37" s="611"/>
      <c r="I37" s="612"/>
      <c r="J37" s="612"/>
      <c r="K37" s="612"/>
      <c r="L37" s="613"/>
    </row>
    <row r="38" spans="1:25" ht="12.75" customHeight="1" x14ac:dyDescent="0.2">
      <c r="G38" s="339"/>
      <c r="H38" s="611"/>
      <c r="I38" s="612"/>
      <c r="J38" s="612"/>
      <c r="K38" s="612"/>
      <c r="L38" s="613"/>
    </row>
    <row r="39" spans="1:25" ht="12.75" customHeight="1" thickBot="1" x14ac:dyDescent="0.25">
      <c r="G39" s="339"/>
      <c r="H39" s="614"/>
      <c r="I39" s="615"/>
      <c r="J39" s="615"/>
      <c r="K39" s="615"/>
      <c r="L39" s="616"/>
    </row>
    <row r="40" spans="1:25" ht="12.75" customHeight="1" thickBot="1" x14ac:dyDescent="0.25">
      <c r="H40" s="174" t="s">
        <v>236</v>
      </c>
      <c r="I40" s="167"/>
      <c r="J40" s="173" t="s">
        <v>237</v>
      </c>
      <c r="K40" s="173" t="s">
        <v>238</v>
      </c>
      <c r="L40" s="172" t="s">
        <v>239</v>
      </c>
    </row>
    <row r="41" spans="1:25" ht="12.75" customHeight="1" thickBot="1" x14ac:dyDescent="0.25">
      <c r="H41" s="168">
        <v>0</v>
      </c>
      <c r="I41" s="169"/>
      <c r="J41" s="170">
        <f>H41*12</f>
        <v>0</v>
      </c>
      <c r="K41" s="170">
        <f>H41*8.5</f>
        <v>0</v>
      </c>
      <c r="L41" s="171">
        <f>H41*3.5</f>
        <v>0</v>
      </c>
    </row>
    <row r="42" spans="1:25" x14ac:dyDescent="0.2">
      <c r="B42" s="545" t="s">
        <v>242</v>
      </c>
      <c r="C42" s="545"/>
      <c r="D42" s="545"/>
    </row>
    <row r="43" spans="1:25" ht="26.25" thickBot="1" x14ac:dyDescent="0.25">
      <c r="A43" s="2"/>
      <c r="B43" s="3" t="s">
        <v>0</v>
      </c>
      <c r="C43" s="3" t="s">
        <v>1</v>
      </c>
      <c r="D43" s="3" t="s">
        <v>2</v>
      </c>
      <c r="E43" s="3" t="s">
        <v>3</v>
      </c>
      <c r="F43" s="3" t="s">
        <v>4</v>
      </c>
      <c r="G43" s="3" t="s">
        <v>42</v>
      </c>
      <c r="H43" s="3" t="s">
        <v>43</v>
      </c>
      <c r="I43" s="445" t="s">
        <v>60</v>
      </c>
      <c r="J43" s="445" t="s">
        <v>61</v>
      </c>
      <c r="K43" s="3" t="s">
        <v>62</v>
      </c>
      <c r="L43" s="4" t="s">
        <v>44</v>
      </c>
      <c r="M43" s="3" t="s">
        <v>45</v>
      </c>
      <c r="N43" s="3" t="s">
        <v>41</v>
      </c>
      <c r="O43" s="3" t="s">
        <v>234</v>
      </c>
      <c r="P43" s="335" t="s">
        <v>66</v>
      </c>
      <c r="Q43" s="335" t="s">
        <v>67</v>
      </c>
      <c r="R43" s="335" t="s">
        <v>68</v>
      </c>
      <c r="T43" s="335" t="s">
        <v>66</v>
      </c>
      <c r="U43" s="335" t="s">
        <v>67</v>
      </c>
      <c r="V43" s="335" t="s">
        <v>68</v>
      </c>
      <c r="Y43" s="336" t="s">
        <v>464</v>
      </c>
    </row>
    <row r="44" spans="1:25" x14ac:dyDescent="0.2">
      <c r="A44" s="5">
        <v>1</v>
      </c>
      <c r="B44" s="28" t="str">
        <f>IF('Personnel Yr 1'!$J$5&gt;2,IF(NOT(OR(ISBLANK('Personnel Yr 2'!B44),'Personnel Yr 2'!B44="")),'Personnel Yr 2'!B44,""),"")</f>
        <v/>
      </c>
      <c r="C44" s="17" t="str">
        <f>IF('Personnel Yr 1'!$J$5&gt;2,IF(ISBLANK('Personnel Yr 2'!C44),"",'Personnel Yr 2'!C44),"")</f>
        <v/>
      </c>
      <c r="D44" s="17" t="str">
        <f>IF('Personnel Yr 1'!$J$5&gt;2,IF(ISBLANK('Personnel Yr 2'!D44),"",'Personnel Yr 2'!D44),"")</f>
        <v/>
      </c>
      <c r="E44" s="183" t="str">
        <f>IF('Personnel Yr 1'!$J$5&gt;2,IF(ISBLANK('Personnel Yr 2'!E44),"",'Personnel Yr 2'!E44),"")</f>
        <v/>
      </c>
      <c r="F44" s="17" t="str">
        <f>IF('Personnel Yr 1'!$J$5&gt;2,IF(ISBLANK('Personnel Yr 2'!F44),"",'Personnel Yr 2'!F44),"")</f>
        <v/>
      </c>
      <c r="G44" s="176" t="str">
        <f>IF('Personnel Yr 1'!$J$5&gt;2,IF(ISBLANK('Personnel Yr 2'!G44),"",'Personnel Yr 2'!G44),"")</f>
        <v/>
      </c>
      <c r="H44" s="177" t="str">
        <f>IF('Personnel Yr 1'!$J$5&gt;2,IF(NOT(OR(ISBLANK('Personnel Yr 2'!H44),'Personnel Yr 2'!H44="")),(('Personnel Yr 2'!H44*'Personnel Yr 1'!$D$5)+'Personnel Yr 2'!H44),""),"")</f>
        <v/>
      </c>
      <c r="I44" s="17" t="str">
        <f>IF('Personnel Yr 1'!$J$5&gt;2,IF(AND(OR(ISBLANK(H44),H44=""),ISBLANK('Personnel Yr 2'!I44)),"",'Personnel Yr 2'!I44),"")</f>
        <v/>
      </c>
      <c r="J44" s="17" t="str">
        <f>IF('Personnel Yr 1'!$J$5&gt;2,IF(AND(OR(ISBLANK(I44),I44=""),ISBLANK('Personnel Yr 2'!J44)),"",'Personnel Yr 2'!J44),"")</f>
        <v/>
      </c>
      <c r="K44" s="17" t="str">
        <f>IF('Personnel Yr 1'!$J$5&gt;2,IF(AND(OR(ISBLANK(J44),J44=""),ISBLANK('Personnel Yr 2'!K44)),"",'Personnel Yr 2'!K44),"")</f>
        <v/>
      </c>
      <c r="L44" s="45" t="str">
        <f>IF('Personnel Yr 1'!$J$5&gt;2,IF(NOT(OR(ISBLANK(H44),H44="")), IF(OR(AND(ISBLANK(I44),ISBLANK(J44),ISBLANK(K44)),AND(I44="",J44="",K44="")),0, IF((AND((I44&gt;0),((J44+K44)&gt;0))),"Error", IF((I44&gt;0),ROUND((IF(AND('Personnel Yr 1'!$O$5&gt;0,H44&gt;'Personnel Yr 1'!$O$5),'Personnel Yr 1'!$O$5,H44)*(I44/12)),2),ROUND((IF(AND('Personnel Yr 1'!$O$5&gt;0,H44&gt;'Personnel Yr 1'!$O$5),'Personnel Yr 1'!$O$5,H44)*((J44+K44)/8.5)),2)))),""),"")</f>
        <v/>
      </c>
      <c r="M44" s="45" t="str">
        <f>IF('Personnel Yr 1'!$J$5&gt;2,IF(OR(ISBLANK(L44),L44=""),"",ROUND(SUM(T44:V44),2)),"")</f>
        <v/>
      </c>
      <c r="N44" s="46" t="str">
        <f>IF('Personnel Yr 1'!$J$5&gt;2,IF(OR(ISBLANK(M44),M44=""),"",ROUND(SUM(L44:M44),2)),"")</f>
        <v/>
      </c>
      <c r="O44" s="158"/>
      <c r="P44" s="336">
        <f>IF('Personnel Yr 1'!$J$5&gt;2,IF(NOT(OR(ISBLANK(I44),I44="")),(H44/12)*I44,""),0)</f>
        <v>0</v>
      </c>
      <c r="Q44" s="337">
        <f>IF('Personnel Yr 1'!$J$5&gt;2,IF(NOT(OR(ISBLANK(J44),J44="")),(H44/8.5)*J44,""),0)</f>
        <v>0</v>
      </c>
      <c r="R44" s="336">
        <f>IF('Personnel Yr 1'!$J$5&gt;2,IF(NOT(OR(ISBLANK(K44),K44="")),(H44/8.5)*K44,""),0)</f>
        <v>0</v>
      </c>
      <c r="T44" s="336">
        <f t="shared" ref="T44:T58" si="3">IF(OR(ISBLANK(P44),P44=""),0,P44*LOOKUP("Full",Ben,Per))</f>
        <v>0</v>
      </c>
      <c r="U44" s="336">
        <f t="shared" ref="U44:U58" si="4">IF(OR(ISBLANK(Q44),Q44=""),0,Q44*LOOKUP("Full",Ben,Per))</f>
        <v>0</v>
      </c>
      <c r="V44" s="336">
        <f t="shared" ref="V44:V58" si="5">IF(OR(ISBLANK(R44),R44=""),0,R44*LOOKUP("Summer",Ben,Per))</f>
        <v>0</v>
      </c>
      <c r="X44" s="336">
        <v>44</v>
      </c>
      <c r="Y44" s="336" t="b">
        <f>IF('Personnel Yr 1'!$J$5&gt;2,IF(OR($N$5&lt;&gt;"Federal - NIH",OR(AND(ISBLANK(I44),ISBLANK(J44),ISBLANK(K44)),AND(I44="",J44="",K44=""))),FALSE,IF(I44&gt;0,H44&gt;NIHSalaryCap,H44&gt;(NIHSalaryCap*8.5)/12)),FALSE)</f>
        <v>0</v>
      </c>
    </row>
    <row r="45" spans="1:25" x14ac:dyDescent="0.2">
      <c r="A45" s="5">
        <v>2</v>
      </c>
      <c r="B45" s="6" t="str">
        <f>IF('Personnel Yr 1'!$J$5&gt;2,IF(NOT(OR(ISBLANK('Personnel Yr 2'!B45),'Personnel Yr 2'!B45="")),'Personnel Yr 2'!B45,""),"")</f>
        <v/>
      </c>
      <c r="C45" s="22" t="str">
        <f>IF('Personnel Yr 1'!$J$5&gt;2,IF(ISBLANK('Personnel Yr 2'!C45),"",'Personnel Yr 2'!C45),"")</f>
        <v/>
      </c>
      <c r="D45" s="22" t="str">
        <f>IF('Personnel Yr 1'!$J$5&gt;2,IF(ISBLANK('Personnel Yr 2'!D45),"",'Personnel Yr 2'!D45),"")</f>
        <v/>
      </c>
      <c r="E45" s="22" t="str">
        <f>IF('Personnel Yr 1'!$J$5&gt;2,IF(ISBLANK('Personnel Yr 2'!E45),"",'Personnel Yr 2'!E45),"")</f>
        <v/>
      </c>
      <c r="F45" s="22" t="str">
        <f>IF('Personnel Yr 1'!$J$5&gt;2,IF(ISBLANK('Personnel Yr 2'!F45),"",'Personnel Yr 2'!F45),"")</f>
        <v/>
      </c>
      <c r="G45" s="22" t="str">
        <f>IF('Personnel Yr 1'!$J$5&gt;2,IF(ISBLANK('Personnel Yr 2'!G45),"",'Personnel Yr 2'!G45),"")</f>
        <v/>
      </c>
      <c r="H45" s="42" t="str">
        <f>IF('Personnel Yr 1'!$J$5&gt;2,IF(NOT(OR(ISBLANK('Personnel Yr 2'!H45),'Personnel Yr 2'!H45="")),(('Personnel Yr 2'!H45*'Personnel Yr 1'!$D$5)+'Personnel Yr 2'!H45),""),"")</f>
        <v/>
      </c>
      <c r="I45" s="22" t="str">
        <f>IF('Personnel Yr 1'!$J$5&gt;2,IF(AND(OR(ISBLANK(H45),H45=""),ISBLANK('Personnel Yr 2'!I45)),"",'Personnel Yr 2'!I45),"")</f>
        <v/>
      </c>
      <c r="J45" s="22" t="str">
        <f>IF('Personnel Yr 1'!$J$5&gt;2,IF(AND(OR(ISBLANK(I45),I45=""),ISBLANK('Personnel Yr 2'!J45)),"",'Personnel Yr 2'!J45),"")</f>
        <v/>
      </c>
      <c r="K45" s="22" t="str">
        <f>IF('Personnel Yr 1'!$J$5&gt;2,IF(AND(OR(ISBLANK(J45),J45=""),ISBLANK('Personnel Yr 2'!K45)),"",'Personnel Yr 2'!K45),"")</f>
        <v/>
      </c>
      <c r="L45" s="44" t="str">
        <f>IF('Personnel Yr 1'!$J$5&gt;2,IF(NOT(OR(ISBLANK(H45),H45="")), IF(OR(AND(ISBLANK(I45),ISBLANK(J45),ISBLANK(K45)),AND(I45="",J45="",K45="")),0, IF((AND((I45&gt;0),((J45+K45)&gt;0))),"Error", IF((I45&gt;0),ROUND((IF(AND('Personnel Yr 1'!$O$5&gt;0,H45&gt;'Personnel Yr 1'!$O$5),'Personnel Yr 1'!$O$5,H45)*(I45/12)),2),ROUND((IF(AND('Personnel Yr 1'!$O$5&gt;0,H45&gt;'Personnel Yr 1'!$O$5),'Personnel Yr 1'!$O$5,H45)*((J45+K45)/8.5)),2)))),""),"")</f>
        <v/>
      </c>
      <c r="M45" s="44" t="str">
        <f>IF('Personnel Yr 1'!$J$5&gt;2,IF(OR(ISBLANK(L45),L45=""),"",ROUND(SUM(T45:V45),2)),"")</f>
        <v/>
      </c>
      <c r="N45" s="51" t="str">
        <f>IF('Personnel Yr 1'!$J$5&gt;2,IF(OR(ISBLANK(M45),M45=""),"",ROUND(SUM(L45:M45),2)),"")</f>
        <v/>
      </c>
      <c r="O45" s="157"/>
      <c r="P45" s="336">
        <f>IF('Personnel Yr 1'!$J$5&gt;2,IF(NOT(OR(ISBLANK(I45),I45="")),(H45/12)*I45,""),0)</f>
        <v>0</v>
      </c>
      <c r="Q45" s="337">
        <f>IF('Personnel Yr 1'!$J$5&gt;2,IF(NOT(OR(ISBLANK(J45),J45="")),(H45/8.5)*J45,""),0)</f>
        <v>0</v>
      </c>
      <c r="R45" s="336">
        <f>IF('Personnel Yr 1'!$J$5&gt;2,IF(NOT(OR(ISBLANK(K45),K45="")),(H45/8.5)*K45,""),0)</f>
        <v>0</v>
      </c>
      <c r="T45" s="336">
        <f t="shared" si="3"/>
        <v>0</v>
      </c>
      <c r="U45" s="336">
        <f t="shared" si="4"/>
        <v>0</v>
      </c>
      <c r="V45" s="336">
        <f t="shared" si="5"/>
        <v>0</v>
      </c>
      <c r="X45" s="336">
        <v>45</v>
      </c>
      <c r="Y45" s="336" t="b">
        <f>IF('Personnel Yr 1'!$J$5&gt;2,IF(OR($N$5&lt;&gt;"Federal - NIH",OR(AND(ISBLANK(I45),ISBLANK(J45),ISBLANK(K45)),AND(I45="",J45="",K45=""))),FALSE,IF(I45&gt;0,H45&gt;NIHSalaryCap,H45&gt;(NIHSalaryCap*8.5)/12)),FALSE)</f>
        <v>0</v>
      </c>
    </row>
    <row r="46" spans="1:25" x14ac:dyDescent="0.2">
      <c r="A46" s="5">
        <v>3</v>
      </c>
      <c r="B46" s="6" t="str">
        <f>IF('Personnel Yr 1'!$J$5&gt;2,IF(NOT(OR(ISBLANK('Personnel Yr 2'!B46),'Personnel Yr 2'!B46="")),'Personnel Yr 2'!B46,""),"")</f>
        <v/>
      </c>
      <c r="C46" s="22" t="str">
        <f>IF('Personnel Yr 1'!$J$5&gt;2,IF(ISBLANK('Personnel Yr 2'!C46),"",'Personnel Yr 2'!C46),"")</f>
        <v/>
      </c>
      <c r="D46" s="22" t="str">
        <f>IF('Personnel Yr 1'!$J$5&gt;2,IF(ISBLANK('Personnel Yr 2'!D46),"",'Personnel Yr 2'!D46),"")</f>
        <v/>
      </c>
      <c r="E46" s="22" t="str">
        <f>IF('Personnel Yr 1'!$J$5&gt;2,IF(ISBLANK('Personnel Yr 2'!E46),"",'Personnel Yr 2'!E46),"")</f>
        <v/>
      </c>
      <c r="F46" s="22" t="str">
        <f>IF('Personnel Yr 1'!$J$5&gt;2,IF(ISBLANK('Personnel Yr 2'!F46),"",'Personnel Yr 2'!F46),"")</f>
        <v/>
      </c>
      <c r="G46" s="70" t="str">
        <f>IF('Personnel Yr 1'!$J$5&gt;2,IF(ISBLANK('Personnel Yr 2'!G46),"",'Personnel Yr 2'!G46),"")</f>
        <v/>
      </c>
      <c r="H46" s="42" t="str">
        <f>IF('Personnel Yr 1'!$J$5&gt;2,IF(NOT(OR(ISBLANK('Personnel Yr 2'!H46),'Personnel Yr 2'!H46="")),(('Personnel Yr 2'!H46*'Personnel Yr 1'!$D$5)+'Personnel Yr 2'!H46),""),"")</f>
        <v/>
      </c>
      <c r="I46" s="22" t="str">
        <f>IF('Personnel Yr 1'!$J$5&gt;2,IF(AND(OR(ISBLANK(H46),H46=""),ISBLANK('Personnel Yr 2'!I46)),"",'Personnel Yr 2'!I46),"")</f>
        <v/>
      </c>
      <c r="J46" s="22" t="str">
        <f>IF('Personnel Yr 1'!$J$5&gt;2,IF(AND(OR(ISBLANK(I46),I46=""),ISBLANK('Personnel Yr 2'!J46)),"",'Personnel Yr 2'!J46),"")</f>
        <v/>
      </c>
      <c r="K46" s="22" t="str">
        <f>IF('Personnel Yr 1'!$J$5&gt;2,IF(AND(OR(ISBLANK(J46),J46=""),ISBLANK('Personnel Yr 2'!K46)),"",'Personnel Yr 2'!K46),"")</f>
        <v/>
      </c>
      <c r="L46" s="44" t="str">
        <f>IF('Personnel Yr 1'!$J$5&gt;2,IF(NOT(OR(ISBLANK(H46),H46="")), IF(OR(AND(ISBLANK(I46),ISBLANK(J46),ISBLANK(K46)),AND(I46="",J46="",K46="")),0, IF((AND((I46&gt;0),((J46+K46)&gt;0))),"Error", IF((I46&gt;0),ROUND((IF(AND('Personnel Yr 1'!$O$5&gt;0,H46&gt;'Personnel Yr 1'!$O$5),'Personnel Yr 1'!$O$5,H46)*(I46/12)),2),ROUND((IF(AND('Personnel Yr 1'!$O$5&gt;0,H46&gt;'Personnel Yr 1'!$O$5),'Personnel Yr 1'!$O$5,H46)*((J46+K46)/8.5)),2)))),""),"")</f>
        <v/>
      </c>
      <c r="M46" s="44" t="str">
        <f>IF('Personnel Yr 1'!$J$5&gt;2,IF(OR(ISBLANK(L46),L46=""),"",ROUND(SUM(T46:V46),2)),"")</f>
        <v/>
      </c>
      <c r="N46" s="51" t="str">
        <f>IF('Personnel Yr 1'!$J$5&gt;2,IF(OR(ISBLANK(M46),M46=""),"",ROUND(SUM(L46:M46),2)),"")</f>
        <v/>
      </c>
      <c r="O46" s="160"/>
      <c r="P46" s="336">
        <f>IF('Personnel Yr 1'!$J$5&gt;2,IF(NOT(OR(ISBLANK(I46),I46="")),(H46/12)*I46,""),0)</f>
        <v>0</v>
      </c>
      <c r="Q46" s="337">
        <f>IF('Personnel Yr 1'!$J$5&gt;2,IF(NOT(OR(ISBLANK(J46),J46="")),(H46/8.5)*J46,""),0)</f>
        <v>0</v>
      </c>
      <c r="R46" s="336">
        <f>IF('Personnel Yr 1'!$J$5&gt;2,IF(NOT(OR(ISBLANK(K46),K46="")),(H46/8.5)*K46,""),0)</f>
        <v>0</v>
      </c>
      <c r="T46" s="336">
        <f t="shared" si="3"/>
        <v>0</v>
      </c>
      <c r="U46" s="336">
        <f t="shared" si="4"/>
        <v>0</v>
      </c>
      <c r="V46" s="336">
        <f t="shared" si="5"/>
        <v>0</v>
      </c>
      <c r="X46" s="336">
        <v>46</v>
      </c>
      <c r="Y46" s="336" t="b">
        <f>IF('Personnel Yr 1'!$J$5&gt;2,IF(OR($N$5&lt;&gt;"Federal - NIH",OR(AND(ISBLANK(I46),ISBLANK(J46),ISBLANK(K46)),AND(I46="",J46="",K46=""))),FALSE,IF(I46&gt;0,H46&gt;NIHSalaryCap,H46&gt;(NIHSalaryCap*8.5)/12)),FALSE)</f>
        <v>0</v>
      </c>
    </row>
    <row r="47" spans="1:25" x14ac:dyDescent="0.2">
      <c r="A47" s="5">
        <v>4</v>
      </c>
      <c r="B47" s="6" t="str">
        <f>IF('Personnel Yr 1'!$J$5&gt;2,IF(NOT(OR(ISBLANK('Personnel Yr 2'!B47),'Personnel Yr 2'!B47="")),'Personnel Yr 2'!B47,""),"")</f>
        <v/>
      </c>
      <c r="C47" s="22" t="str">
        <f>IF('Personnel Yr 1'!$J$5&gt;2,IF(ISBLANK('Personnel Yr 2'!C47),"",'Personnel Yr 2'!C47),"")</f>
        <v/>
      </c>
      <c r="D47" s="22" t="str">
        <f>IF('Personnel Yr 1'!$J$5&gt;2,IF(ISBLANK('Personnel Yr 2'!D47),"",'Personnel Yr 2'!D47),"")</f>
        <v/>
      </c>
      <c r="E47" s="22" t="str">
        <f>IF('Personnel Yr 1'!$J$5&gt;2,IF(ISBLANK('Personnel Yr 2'!E47),"",'Personnel Yr 2'!E47),"")</f>
        <v/>
      </c>
      <c r="F47" s="22" t="str">
        <f>IF('Personnel Yr 1'!$J$5&gt;2,IF(ISBLANK('Personnel Yr 2'!F47),"",'Personnel Yr 2'!F47),"")</f>
        <v/>
      </c>
      <c r="G47" s="71" t="str">
        <f>IF('Personnel Yr 1'!$J$5&gt;2,IF(ISBLANK('Personnel Yr 2'!G47),"",'Personnel Yr 2'!G47),"")</f>
        <v/>
      </c>
      <c r="H47" s="42" t="str">
        <f>IF('Personnel Yr 1'!$J$5&gt;2,IF(NOT(OR(ISBLANK('Personnel Yr 2'!H47),'Personnel Yr 2'!H47="")),(('Personnel Yr 2'!H47*'Personnel Yr 1'!$D$5)+'Personnel Yr 2'!H47),""),"")</f>
        <v/>
      </c>
      <c r="I47" s="22" t="str">
        <f>IF('Personnel Yr 1'!$J$5&gt;2,IF(AND(OR(ISBLANK(H47),H47=""),ISBLANK('Personnel Yr 2'!I47)),"",'Personnel Yr 2'!I47),"")</f>
        <v/>
      </c>
      <c r="J47" s="22" t="str">
        <f>IF('Personnel Yr 1'!$J$5&gt;2,IF(AND(OR(ISBLANK(I47),I47=""),ISBLANK('Personnel Yr 2'!J47)),"",'Personnel Yr 2'!J47),"")</f>
        <v/>
      </c>
      <c r="K47" s="22" t="str">
        <f>IF('Personnel Yr 1'!$J$5&gt;2,IF(AND(OR(ISBLANK(J47),J47=""),ISBLANK('Personnel Yr 2'!K47)),"",'Personnel Yr 2'!K47),"")</f>
        <v/>
      </c>
      <c r="L47" s="44" t="str">
        <f>IF('Personnel Yr 1'!$J$5&gt;2,IF(NOT(OR(ISBLANK(H47),H47="")), IF(OR(AND(ISBLANK(I47),ISBLANK(J47),ISBLANK(K47)),AND(I47="",J47="",K47="")),0, IF((AND((I47&gt;0),((J47+K47)&gt;0))),"Error", IF((I47&gt;0),ROUND((IF(AND('Personnel Yr 1'!$O$5&gt;0,H47&gt;'Personnel Yr 1'!$O$5),'Personnel Yr 1'!$O$5,H47)*(I47/12)),2),ROUND((IF(AND('Personnel Yr 1'!$O$5&gt;0,H47&gt;'Personnel Yr 1'!$O$5),'Personnel Yr 1'!$O$5,H47)*((J47+K47)/8.5)),2)))),""),"")</f>
        <v/>
      </c>
      <c r="M47" s="44" t="str">
        <f>IF('Personnel Yr 1'!$J$5&gt;2,IF(OR(ISBLANK(L47),L47=""),"",ROUND(SUM(T47:V47),2)),"")</f>
        <v/>
      </c>
      <c r="N47" s="51" t="str">
        <f>IF('Personnel Yr 1'!$J$5&gt;2,IF(OR(ISBLANK(M47),M47=""),"",ROUND(SUM(L47:M47),2)),"")</f>
        <v/>
      </c>
      <c r="O47" s="159"/>
      <c r="P47" s="336">
        <f>IF('Personnel Yr 1'!$J$5&gt;2,IF(NOT(OR(ISBLANK(I47),I47="")),(H47/12)*I47,""),0)</f>
        <v>0</v>
      </c>
      <c r="Q47" s="337">
        <f>IF('Personnel Yr 1'!$J$5&gt;2,IF(NOT(OR(ISBLANK(J47),J47="")),(H47/8.5)*J47,""),0)</f>
        <v>0</v>
      </c>
      <c r="R47" s="336">
        <f>IF('Personnel Yr 1'!$J$5&gt;2,IF(NOT(OR(ISBLANK(K47),K47="")),(H47/8.5)*K47,""),0)</f>
        <v>0</v>
      </c>
      <c r="T47" s="336">
        <f t="shared" si="3"/>
        <v>0</v>
      </c>
      <c r="U47" s="336">
        <f t="shared" si="4"/>
        <v>0</v>
      </c>
      <c r="V47" s="336">
        <f t="shared" si="5"/>
        <v>0</v>
      </c>
      <c r="X47" s="336">
        <v>47</v>
      </c>
      <c r="Y47" s="336" t="b">
        <f>IF('Personnel Yr 1'!$J$5&gt;2,IF(OR($N$5&lt;&gt;"Federal - NIH",OR(AND(ISBLANK(I47),ISBLANK(J47),ISBLANK(K47)),AND(I47="",J47="",K47=""))),FALSE,IF(I47&gt;0,H47&gt;NIHSalaryCap,H47&gt;(NIHSalaryCap*8.5)/12)),FALSE)</f>
        <v>0</v>
      </c>
    </row>
    <row r="48" spans="1:25" x14ac:dyDescent="0.2">
      <c r="A48" s="5">
        <v>5</v>
      </c>
      <c r="B48" s="6" t="str">
        <f>IF('Personnel Yr 1'!$J$5&gt;2,IF(NOT(OR(ISBLANK('Personnel Yr 2'!B48),'Personnel Yr 2'!B48="")),'Personnel Yr 2'!B48,""),"")</f>
        <v/>
      </c>
      <c r="C48" s="22" t="str">
        <f>IF('Personnel Yr 1'!$J$5&gt;2,IF(ISBLANK('Personnel Yr 2'!C48),"",'Personnel Yr 2'!C48),"")</f>
        <v/>
      </c>
      <c r="D48" s="22" t="str">
        <f>IF('Personnel Yr 1'!$J$5&gt;2,IF(ISBLANK('Personnel Yr 2'!D48),"",'Personnel Yr 2'!D48),"")</f>
        <v/>
      </c>
      <c r="E48" s="22" t="str">
        <f>IF('Personnel Yr 1'!$J$5&gt;2,IF(ISBLANK('Personnel Yr 2'!E48),"",'Personnel Yr 2'!E48),"")</f>
        <v/>
      </c>
      <c r="F48" s="22" t="str">
        <f>IF('Personnel Yr 1'!$J$5&gt;2,IF(ISBLANK('Personnel Yr 2'!F48),"",'Personnel Yr 2'!F48),"")</f>
        <v/>
      </c>
      <c r="G48" s="22" t="str">
        <f>IF('Personnel Yr 1'!$J$5&gt;2,IF(ISBLANK('Personnel Yr 2'!G48),"",'Personnel Yr 2'!G48),"")</f>
        <v/>
      </c>
      <c r="H48" s="42" t="str">
        <f>IF('Personnel Yr 1'!$J$5&gt;2,IF(NOT(OR(ISBLANK('Personnel Yr 2'!H48),'Personnel Yr 2'!H48="")),(('Personnel Yr 2'!H48*'Personnel Yr 1'!$D$5)+'Personnel Yr 2'!H48),""),"")</f>
        <v/>
      </c>
      <c r="I48" s="22" t="str">
        <f>IF('Personnel Yr 1'!$J$5&gt;2,IF(AND(OR(ISBLANK(H48),H48=""),ISBLANK('Personnel Yr 2'!I48)),"",'Personnel Yr 2'!I48),"")</f>
        <v/>
      </c>
      <c r="J48" s="22" t="str">
        <f>IF('Personnel Yr 1'!$J$5&gt;2,IF(AND(OR(ISBLANK(I48),I48=""),ISBLANK('Personnel Yr 2'!J48)),"",'Personnel Yr 2'!J48),"")</f>
        <v/>
      </c>
      <c r="K48" s="22" t="str">
        <f>IF('Personnel Yr 1'!$J$5&gt;2,IF(AND(OR(ISBLANK(J48),J48=""),ISBLANK('Personnel Yr 2'!K48)),"",'Personnel Yr 2'!K48),"")</f>
        <v/>
      </c>
      <c r="L48" s="44" t="str">
        <f>IF('Personnel Yr 1'!$J$5&gt;2,IF(NOT(OR(ISBLANK(H48),H48="")), IF(OR(AND(ISBLANK(I48),ISBLANK(J48),ISBLANK(K48)),AND(I48="",J48="",K48="")),0, IF((AND((I48&gt;0),((J48+K48)&gt;0))),"Error", IF((I48&gt;0),ROUND((IF(AND('Personnel Yr 1'!$O$5&gt;0,H48&gt;'Personnel Yr 1'!$O$5),'Personnel Yr 1'!$O$5,H48)*(I48/12)),2),ROUND((IF(AND('Personnel Yr 1'!$O$5&gt;0,H48&gt;'Personnel Yr 1'!$O$5),'Personnel Yr 1'!$O$5,H48)*((J48+K48)/8.5)),2)))),""),"")</f>
        <v/>
      </c>
      <c r="M48" s="44" t="str">
        <f>IF('Personnel Yr 1'!$J$5&gt;2,IF(OR(ISBLANK(L48),L48=""),"",ROUND(SUM(T48:V48),2)),"")</f>
        <v/>
      </c>
      <c r="N48" s="51" t="str">
        <f>IF('Personnel Yr 1'!$J$5&gt;2,IF(OR(ISBLANK(M48),M48=""),"",ROUND(SUM(L48:M48),2)),"")</f>
        <v/>
      </c>
      <c r="O48" s="159"/>
      <c r="P48" s="336">
        <f>IF('Personnel Yr 1'!$J$5&gt;2,IF(NOT(OR(ISBLANK(I48),I48="")),(H48/12)*I48,""),0)</f>
        <v>0</v>
      </c>
      <c r="Q48" s="337">
        <f>IF('Personnel Yr 1'!$J$5&gt;2,IF(NOT(OR(ISBLANK(J48),J48="")),(H48/8.5)*J48,""),0)</f>
        <v>0</v>
      </c>
      <c r="R48" s="336">
        <f>IF('Personnel Yr 1'!$J$5&gt;2,IF(NOT(OR(ISBLANK(K48),K48="")),(H48/8.5)*K48,""),0)</f>
        <v>0</v>
      </c>
      <c r="T48" s="336">
        <f t="shared" si="3"/>
        <v>0</v>
      </c>
      <c r="U48" s="336">
        <f t="shared" si="4"/>
        <v>0</v>
      </c>
      <c r="V48" s="336">
        <f t="shared" si="5"/>
        <v>0</v>
      </c>
      <c r="X48" s="336">
        <v>48</v>
      </c>
      <c r="Y48" s="336" t="b">
        <f>IF('Personnel Yr 1'!$J$5&gt;2,IF(OR($N$5&lt;&gt;"Federal - NIH",OR(AND(ISBLANK(I48),ISBLANK(J48),ISBLANK(K48)),AND(I48="",J48="",K48=""))),FALSE,IF(I48&gt;0,H48&gt;NIHSalaryCap,H48&gt;(NIHSalaryCap*8.5)/12)),FALSE)</f>
        <v>0</v>
      </c>
    </row>
    <row r="49" spans="1:25" x14ac:dyDescent="0.2">
      <c r="A49" s="5">
        <v>6</v>
      </c>
      <c r="B49" s="6" t="str">
        <f>IF('Personnel Yr 1'!$J$5&gt;2,IF(NOT(OR(ISBLANK('Personnel Yr 2'!B49),'Personnel Yr 2'!B49="")),'Personnel Yr 2'!B49,""),"")</f>
        <v/>
      </c>
      <c r="C49" s="22" t="str">
        <f>IF('Personnel Yr 1'!$J$5&gt;2,IF(ISBLANK('Personnel Yr 2'!C49),"",'Personnel Yr 2'!C49),"")</f>
        <v/>
      </c>
      <c r="D49" s="22" t="str">
        <f>IF('Personnel Yr 1'!$J$5&gt;2,IF(ISBLANK('Personnel Yr 2'!D49),"",'Personnel Yr 2'!D49),"")</f>
        <v/>
      </c>
      <c r="E49" s="22" t="str">
        <f>IF('Personnel Yr 1'!$J$5&gt;2,IF(ISBLANK('Personnel Yr 2'!E49),"",'Personnel Yr 2'!E49),"")</f>
        <v/>
      </c>
      <c r="F49" s="22" t="str">
        <f>IF('Personnel Yr 1'!$J$5&gt;2,IF(ISBLANK('Personnel Yr 2'!F49),"",'Personnel Yr 2'!F49),"")</f>
        <v/>
      </c>
      <c r="G49" s="22" t="str">
        <f>IF('Personnel Yr 1'!$J$5&gt;2,IF(ISBLANK('Personnel Yr 2'!G49),"",'Personnel Yr 2'!G49),"")</f>
        <v/>
      </c>
      <c r="H49" s="42" t="str">
        <f>IF('Personnel Yr 1'!$J$5&gt;2,IF(NOT(OR(ISBLANK('Personnel Yr 2'!H49),'Personnel Yr 2'!H49="")),(('Personnel Yr 2'!H49*'Personnel Yr 1'!$D$5)+'Personnel Yr 2'!H49),""),"")</f>
        <v/>
      </c>
      <c r="I49" s="22" t="str">
        <f>IF('Personnel Yr 1'!$J$5&gt;2,IF(AND(OR(ISBLANK(H49),H49=""),ISBLANK('Personnel Yr 2'!I49)),"",'Personnel Yr 2'!I49),"")</f>
        <v/>
      </c>
      <c r="J49" s="22" t="str">
        <f>IF('Personnel Yr 1'!$J$5&gt;2,IF(AND(OR(ISBLANK(I49),I49=""),ISBLANK('Personnel Yr 2'!J49)),"",'Personnel Yr 2'!J49),"")</f>
        <v/>
      </c>
      <c r="K49" s="22" t="str">
        <f>IF('Personnel Yr 1'!$J$5&gt;2,IF(AND(OR(ISBLANK(J49),J49=""),ISBLANK('Personnel Yr 2'!K49)),"",'Personnel Yr 2'!K49),"")</f>
        <v/>
      </c>
      <c r="L49" s="44" t="str">
        <f>IF('Personnel Yr 1'!$J$5&gt;2,IF(NOT(OR(ISBLANK(H49),H49="")), IF(OR(AND(ISBLANK(I49),ISBLANK(J49),ISBLANK(K49)),AND(I49="",J49="",K49="")),0, IF((AND((I49&gt;0),((J49+K49)&gt;0))),"Error", IF((I49&gt;0),ROUND((IF(AND('Personnel Yr 1'!$O$5&gt;0,H49&gt;'Personnel Yr 1'!$O$5),'Personnel Yr 1'!$O$5,H49)*(I49/12)),2),ROUND((IF(AND('Personnel Yr 1'!$O$5&gt;0,H49&gt;'Personnel Yr 1'!$O$5),'Personnel Yr 1'!$O$5,H49)*((J49+K49)/8.5)),2)))),""),"")</f>
        <v/>
      </c>
      <c r="M49" s="44" t="str">
        <f>IF('Personnel Yr 1'!$J$5&gt;2,IF(OR(ISBLANK(L49),L49=""),"",ROUND(SUM(T49:V49),2)),"")</f>
        <v/>
      </c>
      <c r="N49" s="51" t="str">
        <f>IF('Personnel Yr 1'!$J$5&gt;2,IF(OR(ISBLANK(M49),M49=""),"",ROUND(SUM(L49:M49),2)),"")</f>
        <v/>
      </c>
      <c r="O49" s="157"/>
      <c r="P49" s="336">
        <f>IF('Personnel Yr 1'!$J$5&gt;2,IF(NOT(OR(ISBLANK(I49),I49="")),(H49/12)*I49,""),0)</f>
        <v>0</v>
      </c>
      <c r="Q49" s="337">
        <f>IF('Personnel Yr 1'!$J$5&gt;2,IF(NOT(OR(ISBLANK(J49),J49="")),(H49/8.5)*J49,""),0)</f>
        <v>0</v>
      </c>
      <c r="R49" s="336">
        <f>IF('Personnel Yr 1'!$J$5&gt;2,IF(NOT(OR(ISBLANK(K49),K49="")),(H49/8.5)*K49,""),0)</f>
        <v>0</v>
      </c>
      <c r="T49" s="336">
        <f t="shared" si="3"/>
        <v>0</v>
      </c>
      <c r="U49" s="336">
        <f t="shared" si="4"/>
        <v>0</v>
      </c>
      <c r="V49" s="336">
        <f t="shared" si="5"/>
        <v>0</v>
      </c>
      <c r="X49" s="336">
        <v>49</v>
      </c>
      <c r="Y49" s="336" t="b">
        <f>IF('Personnel Yr 1'!$J$5&gt;2,IF(OR($N$5&lt;&gt;"Federal - NIH",OR(AND(ISBLANK(I49),ISBLANK(J49),ISBLANK(K49)),AND(I49="",J49="",K49=""))),FALSE,IF(I49&gt;0,H49&gt;NIHSalaryCap,H49&gt;(NIHSalaryCap*8.5)/12)),FALSE)</f>
        <v>0</v>
      </c>
    </row>
    <row r="50" spans="1:25" x14ac:dyDescent="0.2">
      <c r="A50" s="5">
        <v>7</v>
      </c>
      <c r="B50" s="6" t="str">
        <f>IF('Personnel Yr 1'!$J$5&gt;2,IF(NOT(OR(ISBLANK('Personnel Yr 2'!B50),'Personnel Yr 2'!B50="")),'Personnel Yr 2'!B50,""),"")</f>
        <v/>
      </c>
      <c r="C50" s="22" t="str">
        <f>IF('Personnel Yr 1'!$J$5&gt;2,IF(ISBLANK('Personnel Yr 2'!C50),"",'Personnel Yr 2'!C50),"")</f>
        <v/>
      </c>
      <c r="D50" s="22" t="str">
        <f>IF('Personnel Yr 1'!$J$5&gt;2,IF(ISBLANK('Personnel Yr 2'!D50),"",'Personnel Yr 2'!D50),"")</f>
        <v/>
      </c>
      <c r="E50" s="22" t="str">
        <f>IF('Personnel Yr 1'!$J$5&gt;2,IF(ISBLANK('Personnel Yr 2'!E50),"",'Personnel Yr 2'!E50),"")</f>
        <v/>
      </c>
      <c r="F50" s="22" t="str">
        <f>IF('Personnel Yr 1'!$J$5&gt;2,IF(ISBLANK('Personnel Yr 2'!F50),"",'Personnel Yr 2'!F50),"")</f>
        <v/>
      </c>
      <c r="G50" s="22" t="str">
        <f>IF('Personnel Yr 1'!$J$5&gt;2,IF(ISBLANK('Personnel Yr 2'!G50),"",'Personnel Yr 2'!G50),"")</f>
        <v/>
      </c>
      <c r="H50" s="42" t="str">
        <f>IF('Personnel Yr 1'!$J$5&gt;2,IF(NOT(OR(ISBLANK('Personnel Yr 2'!H50),'Personnel Yr 2'!H50="")),(('Personnel Yr 2'!H50*'Personnel Yr 1'!$D$5)+'Personnel Yr 2'!H50),""),"")</f>
        <v/>
      </c>
      <c r="I50" s="22" t="str">
        <f>IF('Personnel Yr 1'!$J$5&gt;2,IF(AND(OR(ISBLANK(H50),H50=""),ISBLANK('Personnel Yr 2'!I50)),"",'Personnel Yr 2'!I50),"")</f>
        <v/>
      </c>
      <c r="J50" s="22" t="str">
        <f>IF('Personnel Yr 1'!$J$5&gt;2,IF(AND(OR(ISBLANK(I50),I50=""),ISBLANK('Personnel Yr 2'!J50)),"",'Personnel Yr 2'!J50),"")</f>
        <v/>
      </c>
      <c r="K50" s="22" t="str">
        <f>IF('Personnel Yr 1'!$J$5&gt;2,IF(AND(OR(ISBLANK(J50),J50=""),ISBLANK('Personnel Yr 2'!K50)),"",'Personnel Yr 2'!K50),"")</f>
        <v/>
      </c>
      <c r="L50" s="44" t="str">
        <f>IF('Personnel Yr 1'!$J$5&gt;2,IF(NOT(OR(ISBLANK(H50),H50="")), IF(OR(AND(ISBLANK(I50),ISBLANK(J50),ISBLANK(K50)),AND(I50="",J50="",K50="")),0, IF((AND((I50&gt;0),((J50+K50)&gt;0))),"Error", IF((I50&gt;0),ROUND((IF(AND('Personnel Yr 1'!$O$5&gt;0,H50&gt;'Personnel Yr 1'!$O$5),'Personnel Yr 1'!$O$5,H50)*(I50/12)),2),ROUND((IF(AND('Personnel Yr 1'!$O$5&gt;0,H50&gt;'Personnel Yr 1'!$O$5),'Personnel Yr 1'!$O$5,H50)*((J50+K50)/8.5)),2)))),""),"")</f>
        <v/>
      </c>
      <c r="M50" s="44" t="str">
        <f>IF('Personnel Yr 1'!$J$5&gt;2,IF(OR(ISBLANK(L50),L50=""),"",ROUND(SUM(T50:V50),2)),"")</f>
        <v/>
      </c>
      <c r="N50" s="51" t="str">
        <f>IF('Personnel Yr 1'!$J$5&gt;2,IF(OR(ISBLANK(M50),M50=""),"",ROUND(SUM(L50:M50),2)),"")</f>
        <v/>
      </c>
      <c r="O50" s="159"/>
      <c r="P50" s="336">
        <f>IF('Personnel Yr 1'!$J$5&gt;2,IF(NOT(OR(ISBLANK(I50),I50="")),(H50/12)*I50,""),0)</f>
        <v>0</v>
      </c>
      <c r="Q50" s="337">
        <f>IF('Personnel Yr 1'!$J$5&gt;2,IF(NOT(OR(ISBLANK(J50),J50="")),(H50/8.5)*J50,""),0)</f>
        <v>0</v>
      </c>
      <c r="R50" s="336">
        <f>IF('Personnel Yr 1'!$J$5&gt;2,IF(NOT(OR(ISBLANK(K50),K50="")),(H50/8.5)*K50,""),0)</f>
        <v>0</v>
      </c>
      <c r="T50" s="336">
        <f t="shared" si="3"/>
        <v>0</v>
      </c>
      <c r="U50" s="336">
        <f t="shared" si="4"/>
        <v>0</v>
      </c>
      <c r="V50" s="336">
        <f t="shared" si="5"/>
        <v>0</v>
      </c>
      <c r="X50" s="336">
        <v>50</v>
      </c>
      <c r="Y50" s="336" t="b">
        <f>IF('Personnel Yr 1'!$J$5&gt;2,IF(OR($N$5&lt;&gt;"Federal - NIH",OR(AND(ISBLANK(I50),ISBLANK(J50),ISBLANK(K50)),AND(I50="",J50="",K50=""))),FALSE,IF(I50&gt;0,H50&gt;NIHSalaryCap,H50&gt;(NIHSalaryCap*8.5)/12)),FALSE)</f>
        <v>0</v>
      </c>
    </row>
    <row r="51" spans="1:25" x14ac:dyDescent="0.2">
      <c r="A51" s="5">
        <v>8</v>
      </c>
      <c r="B51" s="75" t="str">
        <f>IF('Personnel Yr 1'!$J$5&gt;2,IF(NOT(OR(ISBLANK('Personnel Yr 2'!B51),'Personnel Yr 2'!B51="")),'Personnel Yr 2'!B51,""),"")</f>
        <v/>
      </c>
      <c r="C51" s="69" t="str">
        <f>IF('Personnel Yr 1'!$J$5&gt;2,IF(ISBLANK('Personnel Yr 2'!C51),"",'Personnel Yr 2'!C51),"")</f>
        <v/>
      </c>
      <c r="D51" s="69" t="str">
        <f>IF('Personnel Yr 1'!$J$5&gt;2,IF(ISBLANK('Personnel Yr 2'!D51),"",'Personnel Yr 2'!D51),"")</f>
        <v/>
      </c>
      <c r="E51" s="69" t="str">
        <f>IF('Personnel Yr 1'!$J$5&gt;2,IF(ISBLANK('Personnel Yr 2'!E51),"",'Personnel Yr 2'!E51),"")</f>
        <v/>
      </c>
      <c r="F51" s="69" t="str">
        <f>IF('Personnel Yr 1'!$J$5&gt;2,IF(ISBLANK('Personnel Yr 2'!F51),"",'Personnel Yr 2'!F51),"")</f>
        <v/>
      </c>
      <c r="G51" s="69" t="str">
        <f>IF('Personnel Yr 1'!$J$5&gt;2,IF(ISBLANK('Personnel Yr 2'!G51),"",'Personnel Yr 2'!G51),"")</f>
        <v/>
      </c>
      <c r="H51" s="42" t="str">
        <f>IF('Personnel Yr 1'!$J$5&gt;2,IF(NOT(OR(ISBLANK('Personnel Yr 2'!H51),'Personnel Yr 2'!H51="")),(('Personnel Yr 2'!H51*'Personnel Yr 1'!$D$5)+'Personnel Yr 2'!H51),""),"")</f>
        <v/>
      </c>
      <c r="I51" s="22" t="str">
        <f>IF('Personnel Yr 1'!$J$5&gt;2,IF(AND(OR(ISBLANK(H51),H51=""),ISBLANK('Personnel Yr 2'!I51)),"",'Personnel Yr 2'!I51),"")</f>
        <v/>
      </c>
      <c r="J51" s="22" t="str">
        <f>IF('Personnel Yr 1'!$J$5&gt;2,IF(AND(OR(ISBLANK(I51),I51=""),ISBLANK('Personnel Yr 2'!J51)),"",'Personnel Yr 2'!J51),"")</f>
        <v/>
      </c>
      <c r="K51" s="22" t="str">
        <f>IF('Personnel Yr 1'!$J$5&gt;2,IF(AND(OR(ISBLANK(J51),J51=""),ISBLANK('Personnel Yr 2'!K51)),"",'Personnel Yr 2'!K51),"")</f>
        <v/>
      </c>
      <c r="L51" s="44" t="str">
        <f>IF('Personnel Yr 1'!$J$5&gt;2,IF(NOT(OR(ISBLANK(H51),H51="")), IF(OR(AND(ISBLANK(I51),ISBLANK(J51),ISBLANK(K51)),AND(I51="",J51="",K51="")),0, IF((AND((I51&gt;0),((J51+K51)&gt;0))),"Error", IF((I51&gt;0),ROUND((IF(AND('Personnel Yr 1'!$O$5&gt;0,H51&gt;'Personnel Yr 1'!$O$5),'Personnel Yr 1'!$O$5,H51)*(I51/12)),2),ROUND((IF(AND('Personnel Yr 1'!$O$5&gt;0,H51&gt;'Personnel Yr 1'!$O$5),'Personnel Yr 1'!$O$5,H51)*((J51+K51)/8.5)),2)))),""),"")</f>
        <v/>
      </c>
      <c r="M51" s="49" t="str">
        <f>IF('Personnel Yr 1'!$J$5&gt;2,IF(OR(ISBLANK(L51),L51=""),"",ROUND(SUM(T51:V51),2)),"")</f>
        <v/>
      </c>
      <c r="N51" s="50" t="str">
        <f>IF('Personnel Yr 1'!$J$5&gt;2,IF(OR(ISBLANK(M51),M51=""),"",ROUND(SUM(L51:M51),2)),"")</f>
        <v/>
      </c>
      <c r="O51" s="182"/>
      <c r="P51" s="336">
        <f>IF('Personnel Yr 1'!$J$5&gt;2,IF(NOT(OR(ISBLANK(I51),I51="")),(H51/12)*I51,""),0)</f>
        <v>0</v>
      </c>
      <c r="Q51" s="337">
        <f>IF('Personnel Yr 1'!$J$5&gt;2,IF(NOT(OR(ISBLANK(J51),J51="")),(H51/8.5)*J51,""),0)</f>
        <v>0</v>
      </c>
      <c r="R51" s="336">
        <f>IF('Personnel Yr 1'!$J$5&gt;2,IF(NOT(OR(ISBLANK(K51),K51="")),(H51/8.5)*K51,""),0)</f>
        <v>0</v>
      </c>
      <c r="T51" s="336">
        <f t="shared" si="3"/>
        <v>0</v>
      </c>
      <c r="U51" s="336">
        <f t="shared" si="4"/>
        <v>0</v>
      </c>
      <c r="V51" s="336">
        <f t="shared" si="5"/>
        <v>0</v>
      </c>
      <c r="X51" s="336">
        <v>51</v>
      </c>
      <c r="Y51" s="336" t="b">
        <f>IF('Personnel Yr 1'!$J$5&gt;2,IF(OR($N$5&lt;&gt;"Federal - NIH",OR(AND(ISBLANK(I51),ISBLANK(J51),ISBLANK(K51)),AND(I51="",J51="",K51=""))),FALSE,IF(I51&gt;0,H51&gt;NIHSalaryCap,H51&gt;(NIHSalaryCap*8.5)/12)),FALSE)</f>
        <v>0</v>
      </c>
    </row>
    <row r="52" spans="1:25" x14ac:dyDescent="0.2">
      <c r="A52" s="5">
        <v>9</v>
      </c>
      <c r="B52" s="6" t="str">
        <f>IF('Personnel Yr 1'!$J$5&gt;2,IF(NOT(OR(ISBLANK('Personnel Yr 2'!B52),'Personnel Yr 2'!B52="")),'Personnel Yr 2'!B52,""),"")</f>
        <v/>
      </c>
      <c r="C52" s="22" t="str">
        <f>IF('Personnel Yr 1'!$J$5&gt;2,IF(ISBLANK('Personnel Yr 2'!C52),"",'Personnel Yr 2'!C52),"")</f>
        <v/>
      </c>
      <c r="D52" s="22" t="str">
        <f>IF('Personnel Yr 1'!$J$5&gt;2,IF(ISBLANK('Personnel Yr 2'!D52),"",'Personnel Yr 2'!D52),"")</f>
        <v/>
      </c>
      <c r="E52" s="22" t="str">
        <f>IF('Personnel Yr 1'!$J$5&gt;2,IF(ISBLANK('Personnel Yr 2'!E52),"",'Personnel Yr 2'!E52),"")</f>
        <v/>
      </c>
      <c r="F52" s="22" t="str">
        <f>IF('Personnel Yr 1'!$J$5&gt;2,IF(ISBLANK('Personnel Yr 2'!F52),"",'Personnel Yr 2'!F52),"")</f>
        <v/>
      </c>
      <c r="G52" s="71" t="str">
        <f>IF('Personnel Yr 1'!$J$5&gt;2,IF(ISBLANK('Personnel Yr 2'!G52),"",'Personnel Yr 2'!G52),"")</f>
        <v/>
      </c>
      <c r="H52" s="42" t="str">
        <f>IF('Personnel Yr 1'!$J$5&gt;2,IF(NOT(OR(ISBLANK('Personnel Yr 2'!H52),'Personnel Yr 2'!H52="")),(('Personnel Yr 2'!H52*'Personnel Yr 1'!$D$5)+'Personnel Yr 2'!H52),""),"")</f>
        <v/>
      </c>
      <c r="I52" s="22" t="str">
        <f>IF('Personnel Yr 1'!$J$5&gt;2,IF(AND(OR(ISBLANK(H52),H52=""),ISBLANK('Personnel Yr 2'!I52)),"",'Personnel Yr 2'!I52),"")</f>
        <v/>
      </c>
      <c r="J52" s="22" t="str">
        <f>IF('Personnel Yr 1'!$J$5&gt;2,IF(AND(OR(ISBLANK(I52),I52=""),ISBLANK('Personnel Yr 2'!J52)),"",'Personnel Yr 2'!J52),"")</f>
        <v/>
      </c>
      <c r="K52" s="22" t="str">
        <f>IF('Personnel Yr 1'!$J$5&gt;2,IF(AND(OR(ISBLANK(J52),J52=""),ISBLANK('Personnel Yr 2'!K52)),"",'Personnel Yr 2'!K52),"")</f>
        <v/>
      </c>
      <c r="L52" s="44" t="str">
        <f>IF('Personnel Yr 1'!$J$5&gt;2,IF(NOT(OR(ISBLANK(H52),H52="")), IF(OR(AND(ISBLANK(I52),ISBLANK(J52),ISBLANK(K52)),AND(I52="",J52="",K52="")),0, IF((AND((I52&gt;0),((J52+K52)&gt;0))),"Error", IF((I52&gt;0),ROUND((IF(AND('Personnel Yr 1'!$O$5&gt;0,H52&gt;'Personnel Yr 1'!$O$5),'Personnel Yr 1'!$O$5,H52)*(I52/12)),2),ROUND((IF(AND('Personnel Yr 1'!$O$5&gt;0,H52&gt;'Personnel Yr 1'!$O$5),'Personnel Yr 1'!$O$5,H52)*((J52+K52)/8.5)),2)))),""),"")</f>
        <v/>
      </c>
      <c r="M52" s="44" t="str">
        <f>IF('Personnel Yr 1'!$J$5&gt;2,IF(OR(ISBLANK(L52),L52=""),"",ROUND(SUM(T52:V52),2)),"")</f>
        <v/>
      </c>
      <c r="N52" s="51" t="str">
        <f>IF('Personnel Yr 1'!$J$5&gt;2,IF(OR(ISBLANK(M52),M52=""),"",ROUND(SUM(L52:M52),2)),"")</f>
        <v/>
      </c>
      <c r="O52" s="159"/>
      <c r="P52" s="336">
        <f>IF('Personnel Yr 1'!$J$5&gt;2,IF(NOT(OR(ISBLANK(I52),I52="")),(H52/12)*I52,""),0)</f>
        <v>0</v>
      </c>
      <c r="Q52" s="337">
        <f>IF('Personnel Yr 1'!$J$5&gt;2,IF(NOT(OR(ISBLANK(J52),J52="")),(H52/8.5)*J52,""),0)</f>
        <v>0</v>
      </c>
      <c r="R52" s="336">
        <f>IF('Personnel Yr 1'!$J$5&gt;2,IF(NOT(OR(ISBLANK(K52),K52="")),(H52/8.5)*K52,""),0)</f>
        <v>0</v>
      </c>
      <c r="T52" s="336">
        <f t="shared" si="3"/>
        <v>0</v>
      </c>
      <c r="U52" s="336">
        <f t="shared" si="4"/>
        <v>0</v>
      </c>
      <c r="V52" s="336">
        <f t="shared" si="5"/>
        <v>0</v>
      </c>
      <c r="X52" s="336">
        <v>52</v>
      </c>
      <c r="Y52" s="336" t="b">
        <f>IF('Personnel Yr 1'!$J$5&gt;2,IF(OR($N$5&lt;&gt;"Federal - NIH",OR(AND(ISBLANK(I52),ISBLANK(J52),ISBLANK(K52)),AND(I52="",J52="",K52=""))),FALSE,IF(I52&gt;0,H52&gt;NIHSalaryCap,H52&gt;(NIHSalaryCap*8.5)/12)),FALSE)</f>
        <v>0</v>
      </c>
    </row>
    <row r="53" spans="1:25" x14ac:dyDescent="0.2">
      <c r="A53" s="5">
        <v>10</v>
      </c>
      <c r="B53" s="6" t="str">
        <f>IF('Personnel Yr 1'!$J$5&gt;2,IF(NOT(OR(ISBLANK('Personnel Yr 2'!B53),'Personnel Yr 2'!B53="")),'Personnel Yr 2'!B53,""),"")</f>
        <v/>
      </c>
      <c r="C53" s="22" t="str">
        <f>IF('Personnel Yr 1'!$J$5&gt;2,IF(ISBLANK('Personnel Yr 2'!C53),"",'Personnel Yr 2'!C53),"")</f>
        <v/>
      </c>
      <c r="D53" s="22" t="str">
        <f>IF('Personnel Yr 1'!$J$5&gt;2,IF(ISBLANK('Personnel Yr 2'!D53),"",'Personnel Yr 2'!D53),"")</f>
        <v/>
      </c>
      <c r="E53" s="22" t="str">
        <f>IF('Personnel Yr 1'!$J$5&gt;2,IF(ISBLANK('Personnel Yr 2'!E53),"",'Personnel Yr 2'!E53),"")</f>
        <v/>
      </c>
      <c r="F53" s="22" t="str">
        <f>IF('Personnel Yr 1'!$J$5&gt;2,IF(ISBLANK('Personnel Yr 2'!F53),"",'Personnel Yr 2'!F53),"")</f>
        <v/>
      </c>
      <c r="G53" s="22" t="str">
        <f>IF('Personnel Yr 1'!$J$5&gt;2,IF(ISBLANK('Personnel Yr 2'!G53),"",'Personnel Yr 2'!G53),"")</f>
        <v/>
      </c>
      <c r="H53" s="42" t="str">
        <f>IF('Personnel Yr 1'!$J$5&gt;2,IF(NOT(OR(ISBLANK('Personnel Yr 2'!H53),'Personnel Yr 2'!H53="")),(('Personnel Yr 2'!H53*'Personnel Yr 1'!$D$5)+'Personnel Yr 2'!H53),""),"")</f>
        <v/>
      </c>
      <c r="I53" s="22" t="str">
        <f>IF('Personnel Yr 1'!$J$5&gt;2,IF(AND(OR(ISBLANK(H53),H53=""),ISBLANK('Personnel Yr 2'!I53)),"",'Personnel Yr 2'!I53),"")</f>
        <v/>
      </c>
      <c r="J53" s="22" t="str">
        <f>IF('Personnel Yr 1'!$J$5&gt;2,IF(AND(OR(ISBLANK(I53),I53=""),ISBLANK('Personnel Yr 2'!J53)),"",'Personnel Yr 2'!J53),"")</f>
        <v/>
      </c>
      <c r="K53" s="22" t="str">
        <f>IF('Personnel Yr 1'!$J$5&gt;2,IF(AND(OR(ISBLANK(J53),J53=""),ISBLANK('Personnel Yr 2'!K53)),"",'Personnel Yr 2'!K53),"")</f>
        <v/>
      </c>
      <c r="L53" s="44" t="str">
        <f>IF('Personnel Yr 1'!$J$5&gt;2,IF(NOT(OR(ISBLANK(H53),H53="")), IF(OR(AND(ISBLANK(I53),ISBLANK(J53),ISBLANK(K53)),AND(I53="",J53="",K53="")),0, IF((AND((I53&gt;0),((J53+K53)&gt;0))),"Error", IF((I53&gt;0),ROUND((IF(AND('Personnel Yr 1'!$O$5&gt;0,H53&gt;'Personnel Yr 1'!$O$5),'Personnel Yr 1'!$O$5,H53)*(I53/12)),2),ROUND((IF(AND('Personnel Yr 1'!$O$5&gt;0,H53&gt;'Personnel Yr 1'!$O$5),'Personnel Yr 1'!$O$5,H53)*((J53+K53)/8.5)),2)))),""),"")</f>
        <v/>
      </c>
      <c r="M53" s="44" t="str">
        <f>IF('Personnel Yr 1'!$J$5&gt;2,IF(OR(ISBLANK(L53),L53=""),"",ROUND(SUM(T53:V53),2)),"")</f>
        <v/>
      </c>
      <c r="N53" s="51" t="str">
        <f>IF('Personnel Yr 1'!$J$5&gt;2,IF(OR(ISBLANK(M53),M53=""),"",ROUND(SUM(L53:M53),2)),"")</f>
        <v/>
      </c>
      <c r="O53" s="159"/>
      <c r="P53" s="336">
        <f>IF('Personnel Yr 1'!$J$5&gt;2,IF(NOT(OR(ISBLANK(I53),I53="")),(H53/12)*I53,""),0)</f>
        <v>0</v>
      </c>
      <c r="Q53" s="337">
        <f>IF('Personnel Yr 1'!$J$5&gt;2,IF(NOT(OR(ISBLANK(J53),J53="")),(H53/8.5)*J53,""),0)</f>
        <v>0</v>
      </c>
      <c r="R53" s="336">
        <f>IF('Personnel Yr 1'!$J$5&gt;2,IF(NOT(OR(ISBLANK(K53),K53="")),(H53/8.5)*K53,""),0)</f>
        <v>0</v>
      </c>
      <c r="T53" s="336">
        <f t="shared" si="3"/>
        <v>0</v>
      </c>
      <c r="U53" s="336">
        <f t="shared" si="4"/>
        <v>0</v>
      </c>
      <c r="V53" s="336">
        <f t="shared" si="5"/>
        <v>0</v>
      </c>
      <c r="X53" s="336">
        <v>53</v>
      </c>
      <c r="Y53" s="336" t="b">
        <f>IF('Personnel Yr 1'!$J$5&gt;2,IF(OR($N$5&lt;&gt;"Federal - NIH",OR(AND(ISBLANK(I53),ISBLANK(J53),ISBLANK(K53)),AND(I53="",J53="",K53=""))),FALSE,IF(I53&gt;0,H53&gt;NIHSalaryCap,H53&gt;(NIHSalaryCap*8.5)/12)),FALSE)</f>
        <v>0</v>
      </c>
    </row>
    <row r="54" spans="1:25" x14ac:dyDescent="0.2">
      <c r="A54" s="5">
        <v>11</v>
      </c>
      <c r="B54" s="6" t="str">
        <f>IF('Personnel Yr 1'!$J$5&gt;2,IF(NOT(OR(ISBLANK('Personnel Yr 2'!B54),'Personnel Yr 2'!B54="")),'Personnel Yr 2'!B54,""),"")</f>
        <v/>
      </c>
      <c r="C54" s="22" t="str">
        <f>IF('Personnel Yr 1'!$J$5&gt;2,IF(ISBLANK('Personnel Yr 2'!C54),"",'Personnel Yr 2'!C54),"")</f>
        <v/>
      </c>
      <c r="D54" s="22" t="str">
        <f>IF('Personnel Yr 1'!$J$5&gt;2,IF(ISBLANK('Personnel Yr 2'!D54),"",'Personnel Yr 2'!D54),"")</f>
        <v/>
      </c>
      <c r="E54" s="22" t="str">
        <f>IF('Personnel Yr 1'!$J$5&gt;2,IF(ISBLANK('Personnel Yr 2'!E54),"",'Personnel Yr 2'!E54),"")</f>
        <v/>
      </c>
      <c r="F54" s="22" t="str">
        <f>IF('Personnel Yr 1'!$J$5&gt;2,IF(ISBLANK('Personnel Yr 2'!F54),"",'Personnel Yr 2'!F54),"")</f>
        <v/>
      </c>
      <c r="G54" s="22" t="str">
        <f>IF('Personnel Yr 1'!$J$5&gt;2,IF(ISBLANK('Personnel Yr 2'!G54),"",'Personnel Yr 2'!G54),"")</f>
        <v/>
      </c>
      <c r="H54" s="42" t="str">
        <f>IF('Personnel Yr 1'!$J$5&gt;2,IF(NOT(OR(ISBLANK('Personnel Yr 2'!H54),'Personnel Yr 2'!H54="")),(('Personnel Yr 2'!H54*'Personnel Yr 1'!$D$5)+'Personnel Yr 2'!H54),""),"")</f>
        <v/>
      </c>
      <c r="I54" s="22" t="str">
        <f>IF('Personnel Yr 1'!$J$5&gt;2,IF(AND(OR(ISBLANK(H54),H54=""),ISBLANK('Personnel Yr 2'!I54)),"",'Personnel Yr 2'!I54),"")</f>
        <v/>
      </c>
      <c r="J54" s="22" t="str">
        <f>IF('Personnel Yr 1'!$J$5&gt;2,IF(AND(OR(ISBLANK(I54),I54=""),ISBLANK('Personnel Yr 2'!J54)),"",'Personnel Yr 2'!J54),"")</f>
        <v/>
      </c>
      <c r="K54" s="22" t="str">
        <f>IF('Personnel Yr 1'!$J$5&gt;2,IF(AND(OR(ISBLANK(J54),J54=""),ISBLANK('Personnel Yr 2'!K54)),"",'Personnel Yr 2'!K54),"")</f>
        <v/>
      </c>
      <c r="L54" s="44" t="str">
        <f>IF('Personnel Yr 1'!$J$5&gt;2,IF(NOT(OR(ISBLANK(H54),H54="")), IF(OR(AND(ISBLANK(I54),ISBLANK(J54),ISBLANK(K54)),AND(I54="",J54="",K54="")),0, IF((AND((I54&gt;0),((J54+K54)&gt;0))),"Error", IF((I54&gt;0),ROUND((IF(AND('Personnel Yr 1'!$O$5&gt;0,H54&gt;'Personnel Yr 1'!$O$5),'Personnel Yr 1'!$O$5,H54)*(I54/12)),2),ROUND((IF(AND('Personnel Yr 1'!$O$5&gt;0,H54&gt;'Personnel Yr 1'!$O$5),'Personnel Yr 1'!$O$5,H54)*((J54+K54)/8.5)),2)))),""),"")</f>
        <v/>
      </c>
      <c r="M54" s="44" t="str">
        <f>IF('Personnel Yr 1'!$J$5&gt;2,IF(OR(ISBLANK(L54),L54=""),"",ROUND(SUM(T54:V54),2)),"")</f>
        <v/>
      </c>
      <c r="N54" s="51" t="str">
        <f>IF('Personnel Yr 1'!$J$5&gt;2,IF(OR(ISBLANK(M54),M54=""),"",ROUND(SUM(L54:M54),2)),"")</f>
        <v/>
      </c>
      <c r="O54" s="157"/>
      <c r="P54" s="336">
        <f>IF('Personnel Yr 1'!$J$5&gt;2,IF(NOT(OR(ISBLANK(I54),I54="")),(H54/12)*I54,""),0)</f>
        <v>0</v>
      </c>
      <c r="Q54" s="337">
        <f>IF('Personnel Yr 1'!$J$5&gt;2,IF(NOT(OR(ISBLANK(J54),J54="")),(H54/8.5)*J54,""),0)</f>
        <v>0</v>
      </c>
      <c r="R54" s="336">
        <f>IF('Personnel Yr 1'!$J$5&gt;2,IF(NOT(OR(ISBLANK(K54),K54="")),(H54/8.5)*K54,""),0)</f>
        <v>0</v>
      </c>
      <c r="T54" s="336">
        <f t="shared" si="3"/>
        <v>0</v>
      </c>
      <c r="U54" s="336">
        <f t="shared" si="4"/>
        <v>0</v>
      </c>
      <c r="V54" s="336">
        <f t="shared" si="5"/>
        <v>0</v>
      </c>
      <c r="X54" s="336">
        <v>54</v>
      </c>
      <c r="Y54" s="336" t="b">
        <f>IF('Personnel Yr 1'!$J$5&gt;2,IF(OR($N$5&lt;&gt;"Federal - NIH",OR(AND(ISBLANK(I54),ISBLANK(J54),ISBLANK(K54)),AND(I54="",J54="",K54=""))),FALSE,IF(I54&gt;0,H54&gt;NIHSalaryCap,H54&gt;(NIHSalaryCap*8.5)/12)),FALSE)</f>
        <v>0</v>
      </c>
    </row>
    <row r="55" spans="1:25" x14ac:dyDescent="0.2">
      <c r="A55" s="5">
        <v>12</v>
      </c>
      <c r="B55" s="6" t="str">
        <f>IF('Personnel Yr 1'!$J$5&gt;2,IF(NOT(OR(ISBLANK('Personnel Yr 2'!B55),'Personnel Yr 2'!B55="")),'Personnel Yr 2'!B55,""),"")</f>
        <v/>
      </c>
      <c r="C55" s="22" t="str">
        <f>IF('Personnel Yr 1'!$J$5&gt;2,IF(ISBLANK('Personnel Yr 2'!C55),"",'Personnel Yr 2'!C55),"")</f>
        <v/>
      </c>
      <c r="D55" s="22" t="str">
        <f>IF('Personnel Yr 1'!$J$5&gt;2,IF(ISBLANK('Personnel Yr 2'!D55),"",'Personnel Yr 2'!D55),"")</f>
        <v/>
      </c>
      <c r="E55" s="22" t="str">
        <f>IF('Personnel Yr 1'!$J$5&gt;2,IF(ISBLANK('Personnel Yr 2'!E55),"",'Personnel Yr 2'!E55),"")</f>
        <v/>
      </c>
      <c r="F55" s="22" t="str">
        <f>IF('Personnel Yr 1'!$J$5&gt;2,IF(ISBLANK('Personnel Yr 2'!F55),"",'Personnel Yr 2'!F55),"")</f>
        <v/>
      </c>
      <c r="G55" s="22" t="str">
        <f>IF('Personnel Yr 1'!$J$5&gt;2,IF(ISBLANK('Personnel Yr 2'!G55),"",'Personnel Yr 2'!G55),"")</f>
        <v/>
      </c>
      <c r="H55" s="42" t="str">
        <f>IF('Personnel Yr 1'!$J$5&gt;2,IF(NOT(OR(ISBLANK('Personnel Yr 2'!H55),'Personnel Yr 2'!H55="")),(('Personnel Yr 2'!H55*'Personnel Yr 1'!$D$5)+'Personnel Yr 2'!H55),""),"")</f>
        <v/>
      </c>
      <c r="I55" s="22" t="str">
        <f>IF('Personnel Yr 1'!$J$5&gt;2,IF(AND(OR(ISBLANK(H55),H55=""),ISBLANK('Personnel Yr 2'!I55)),"",'Personnel Yr 2'!I55),"")</f>
        <v/>
      </c>
      <c r="J55" s="22" t="str">
        <f>IF('Personnel Yr 1'!$J$5&gt;2,IF(AND(OR(ISBLANK(I55),I55=""),ISBLANK('Personnel Yr 2'!J55)),"",'Personnel Yr 2'!J55),"")</f>
        <v/>
      </c>
      <c r="K55" s="22" t="str">
        <f>IF('Personnel Yr 1'!$J$5&gt;2,IF(AND(OR(ISBLANK(J55),J55=""),ISBLANK('Personnel Yr 2'!K55)),"",'Personnel Yr 2'!K55),"")</f>
        <v/>
      </c>
      <c r="L55" s="44" t="str">
        <f>IF('Personnel Yr 1'!$J$5&gt;2,IF(NOT(OR(ISBLANK(H55),H55="")), IF(OR(AND(ISBLANK(I55),ISBLANK(J55),ISBLANK(K55)),AND(I55="",J55="",K55="")),0, IF((AND((I55&gt;0),((J55+K55)&gt;0))),"Error", IF((I55&gt;0),ROUND((IF(AND('Personnel Yr 1'!$O$5&gt;0,H55&gt;'Personnel Yr 1'!$O$5),'Personnel Yr 1'!$O$5,H55)*(I55/12)),2),ROUND((IF(AND('Personnel Yr 1'!$O$5&gt;0,H55&gt;'Personnel Yr 1'!$O$5),'Personnel Yr 1'!$O$5,H55)*((J55+K55)/8.5)),2)))),""),"")</f>
        <v/>
      </c>
      <c r="M55" s="44" t="str">
        <f>IF('Personnel Yr 1'!$J$5&gt;2,IF(OR(ISBLANK(L55),L55=""),"",ROUND(SUM(T55:V55),2)),"")</f>
        <v/>
      </c>
      <c r="N55" s="51" t="str">
        <f>IF('Personnel Yr 1'!$J$5&gt;2,IF(OR(ISBLANK(M55),M55=""),"",ROUND(SUM(L55:M55),2)),"")</f>
        <v/>
      </c>
      <c r="O55" s="159"/>
      <c r="P55" s="336">
        <f>IF('Personnel Yr 1'!$J$5&gt;2,IF(NOT(OR(ISBLANK(I55),I55="")),(H55/12)*I55,""),0)</f>
        <v>0</v>
      </c>
      <c r="Q55" s="337">
        <f>IF('Personnel Yr 1'!$J$5&gt;2,IF(NOT(OR(ISBLANK(J55),J55="")),(H55/8.5)*J55,""),0)</f>
        <v>0</v>
      </c>
      <c r="R55" s="336">
        <f>IF('Personnel Yr 1'!$J$5&gt;2,IF(NOT(OR(ISBLANK(K55),K55="")),(H55/8.5)*K55,""),0)</f>
        <v>0</v>
      </c>
      <c r="T55" s="336">
        <f t="shared" si="3"/>
        <v>0</v>
      </c>
      <c r="U55" s="336">
        <f t="shared" si="4"/>
        <v>0</v>
      </c>
      <c r="V55" s="336">
        <f t="shared" si="5"/>
        <v>0</v>
      </c>
      <c r="X55" s="336">
        <v>55</v>
      </c>
      <c r="Y55" s="336" t="b">
        <f>IF('Personnel Yr 1'!$J$5&gt;2,IF(OR($N$5&lt;&gt;"Federal - NIH",OR(AND(ISBLANK(I55),ISBLANK(J55),ISBLANK(K55)),AND(I55="",J55="",K55=""))),FALSE,IF(I55&gt;0,H55&gt;NIHSalaryCap,H55&gt;(NIHSalaryCap*8.5)/12)),FALSE)</f>
        <v>0</v>
      </c>
    </row>
    <row r="56" spans="1:25" x14ac:dyDescent="0.2">
      <c r="A56" s="5">
        <v>13</v>
      </c>
      <c r="B56" s="75" t="str">
        <f>IF('Personnel Yr 1'!$J$5&gt;2,IF(NOT(OR(ISBLANK('Personnel Yr 2'!B56),'Personnel Yr 2'!B56="")),'Personnel Yr 2'!B56,""),"")</f>
        <v/>
      </c>
      <c r="C56" s="69" t="str">
        <f>IF('Personnel Yr 1'!$J$5&gt;2,IF(ISBLANK('Personnel Yr 2'!C56),"",'Personnel Yr 2'!C56),"")</f>
        <v/>
      </c>
      <c r="D56" s="69" t="str">
        <f>IF('Personnel Yr 1'!$J$5&gt;2,IF(ISBLANK('Personnel Yr 2'!D56),"",'Personnel Yr 2'!D56),"")</f>
        <v/>
      </c>
      <c r="E56" s="69" t="str">
        <f>IF('Personnel Yr 1'!$J$5&gt;2,IF(ISBLANK('Personnel Yr 2'!E56),"",'Personnel Yr 2'!E56),"")</f>
        <v/>
      </c>
      <c r="F56" s="69" t="str">
        <f>IF('Personnel Yr 1'!$J$5&gt;2,IF(ISBLANK('Personnel Yr 2'!F56),"",'Personnel Yr 2'!F56),"")</f>
        <v/>
      </c>
      <c r="G56" s="69" t="str">
        <f>IF('Personnel Yr 1'!$J$5&gt;2,IF(ISBLANK('Personnel Yr 2'!G56),"",'Personnel Yr 2'!G56),"")</f>
        <v/>
      </c>
      <c r="H56" s="42" t="str">
        <f>IF('Personnel Yr 1'!$J$5&gt;2,IF(NOT(OR(ISBLANK('Personnel Yr 2'!H56),'Personnel Yr 2'!H56="")),(('Personnel Yr 2'!H56*'Personnel Yr 1'!$D$5)+'Personnel Yr 2'!H56),""),"")</f>
        <v/>
      </c>
      <c r="I56" s="22" t="str">
        <f>IF('Personnel Yr 1'!$J$5&gt;2,IF(AND(OR(ISBLANK(H56),H56=""),ISBLANK('Personnel Yr 2'!I56)),"",'Personnel Yr 2'!I56),"")</f>
        <v/>
      </c>
      <c r="J56" s="22" t="str">
        <f>IF('Personnel Yr 1'!$J$5&gt;2,IF(AND(OR(ISBLANK(I56),I56=""),ISBLANK('Personnel Yr 2'!J56)),"",'Personnel Yr 2'!J56),"")</f>
        <v/>
      </c>
      <c r="K56" s="22" t="str">
        <f>IF('Personnel Yr 1'!$J$5&gt;2,IF(AND(OR(ISBLANK(J56),J56=""),ISBLANK('Personnel Yr 2'!K56)),"",'Personnel Yr 2'!K56),"")</f>
        <v/>
      </c>
      <c r="L56" s="44" t="str">
        <f>IF('Personnel Yr 1'!$J$5&gt;2,IF(NOT(OR(ISBLANK(H56),H56="")), IF(OR(AND(ISBLANK(I56),ISBLANK(J56),ISBLANK(K56)),AND(I56="",J56="",K56="")),0, IF((AND((I56&gt;0),((J56+K56)&gt;0))),"Error", IF((I56&gt;0),ROUND((IF(AND('Personnel Yr 1'!$O$5&gt;0,H56&gt;'Personnel Yr 1'!$O$5),'Personnel Yr 1'!$O$5,H56)*(I56/12)),2),ROUND((IF(AND('Personnel Yr 1'!$O$5&gt;0,H56&gt;'Personnel Yr 1'!$O$5),'Personnel Yr 1'!$O$5,H56)*((J56+K56)/8.5)),2)))),""),"")</f>
        <v/>
      </c>
      <c r="M56" s="49" t="str">
        <f>IF('Personnel Yr 1'!$J$5&gt;2,IF(OR(ISBLANK(L56),L56=""),"",ROUND(SUM(T56:V56),2)),"")</f>
        <v/>
      </c>
      <c r="N56" s="50" t="str">
        <f>IF('Personnel Yr 1'!$J$5&gt;2,IF(OR(ISBLANK(M56),M56=""),"",ROUND(SUM(L56:M56),2)),"")</f>
        <v/>
      </c>
      <c r="O56" s="182"/>
      <c r="P56" s="336">
        <f>IF('Personnel Yr 1'!$J$5&gt;2,IF(NOT(OR(ISBLANK(I56),I56="")),(H56/12)*I56,""),0)</f>
        <v>0</v>
      </c>
      <c r="Q56" s="337">
        <f>IF('Personnel Yr 1'!$J$5&gt;2,IF(NOT(OR(ISBLANK(J56),J56="")),(H56/8.5)*J56,""),0)</f>
        <v>0</v>
      </c>
      <c r="R56" s="336">
        <f>IF('Personnel Yr 1'!$J$5&gt;2,IF(NOT(OR(ISBLANK(K56),K56="")),(H56/8.5)*K56,""),0)</f>
        <v>0</v>
      </c>
      <c r="T56" s="336">
        <f t="shared" si="3"/>
        <v>0</v>
      </c>
      <c r="U56" s="336">
        <f t="shared" si="4"/>
        <v>0</v>
      </c>
      <c r="V56" s="336">
        <f t="shared" si="5"/>
        <v>0</v>
      </c>
      <c r="X56" s="336">
        <v>56</v>
      </c>
      <c r="Y56" s="336" t="b">
        <f>IF('Personnel Yr 1'!$J$5&gt;2,IF(OR($N$5&lt;&gt;"Federal - NIH",OR(AND(ISBLANK(I56),ISBLANK(J56),ISBLANK(K56)),AND(I56="",J56="",K56=""))),FALSE,IF(I56&gt;0,H56&gt;NIHSalaryCap,H56&gt;(NIHSalaryCap*8.5)/12)),FALSE)</f>
        <v>0</v>
      </c>
    </row>
    <row r="57" spans="1:25" x14ac:dyDescent="0.2">
      <c r="A57" s="5">
        <v>14</v>
      </c>
      <c r="B57" s="6" t="str">
        <f>IF('Personnel Yr 1'!$J$5&gt;2,IF(NOT(OR(ISBLANK('Personnel Yr 2'!B57),'Personnel Yr 2'!B57="")),'Personnel Yr 2'!B57,""),"")</f>
        <v/>
      </c>
      <c r="C57" s="22" t="str">
        <f>IF('Personnel Yr 1'!$J$5&gt;2,IF(ISBLANK('Personnel Yr 2'!C57),"",'Personnel Yr 2'!C57),"")</f>
        <v/>
      </c>
      <c r="D57" s="22" t="str">
        <f>IF('Personnel Yr 1'!$J$5&gt;2,IF(ISBLANK('Personnel Yr 2'!D57),"",'Personnel Yr 2'!D57),"")</f>
        <v/>
      </c>
      <c r="E57" s="22" t="str">
        <f>IF('Personnel Yr 1'!$J$5&gt;2,IF(ISBLANK('Personnel Yr 2'!E57),"",'Personnel Yr 2'!E57),"")</f>
        <v/>
      </c>
      <c r="F57" s="22" t="str">
        <f>IF('Personnel Yr 1'!$J$5&gt;2,IF(ISBLANK('Personnel Yr 2'!F57),"",'Personnel Yr 2'!F57),"")</f>
        <v/>
      </c>
      <c r="G57" s="22" t="str">
        <f>IF('Personnel Yr 1'!$J$5&gt;2,IF(ISBLANK('Personnel Yr 2'!G57),"",'Personnel Yr 2'!G57),"")</f>
        <v/>
      </c>
      <c r="H57" s="42" t="str">
        <f>IF('Personnel Yr 1'!$J$5&gt;2,IF(NOT(OR(ISBLANK('Personnel Yr 2'!H57),'Personnel Yr 2'!H57="")),(('Personnel Yr 2'!H57*'Personnel Yr 1'!$D$5)+'Personnel Yr 2'!H57),""),"")</f>
        <v/>
      </c>
      <c r="I57" s="22" t="str">
        <f>IF('Personnel Yr 1'!$J$5&gt;2,IF(AND(OR(ISBLANK(H57),H57=""),ISBLANK('Personnel Yr 2'!I57)),"",'Personnel Yr 2'!I57),"")</f>
        <v/>
      </c>
      <c r="J57" s="22" t="str">
        <f>IF('Personnel Yr 1'!$J$5&gt;2,IF(AND(OR(ISBLANK(I57),I57=""),ISBLANK('Personnel Yr 2'!J57)),"",'Personnel Yr 2'!J57),"")</f>
        <v/>
      </c>
      <c r="K57" s="22" t="str">
        <f>IF('Personnel Yr 1'!$J$5&gt;2,IF(AND(OR(ISBLANK(J57),J57=""),ISBLANK('Personnel Yr 2'!K57)),"",'Personnel Yr 2'!K57),"")</f>
        <v/>
      </c>
      <c r="L57" s="44" t="str">
        <f>IF('Personnel Yr 1'!$J$5&gt;2,IF(NOT(OR(ISBLANK(H57),H57="")), IF(OR(AND(ISBLANK(I57),ISBLANK(J57),ISBLANK(K57)),AND(I57="",J57="",K57="")),0, IF((AND((I57&gt;0),((J57+K57)&gt;0))),"Error", IF((I57&gt;0),ROUND((IF(AND('Personnel Yr 1'!$O$5&gt;0,H57&gt;'Personnel Yr 1'!$O$5),'Personnel Yr 1'!$O$5,H57)*(I57/12)),2),ROUND((IF(AND('Personnel Yr 1'!$O$5&gt;0,H57&gt;'Personnel Yr 1'!$O$5),'Personnel Yr 1'!$O$5,H57)*((J57+K57)/8.5)),2)))),""),"")</f>
        <v/>
      </c>
      <c r="M57" s="44" t="str">
        <f>IF('Personnel Yr 1'!$J$5&gt;2,IF(OR(ISBLANK(L57),L57=""),"",ROUND(SUM(T57:V57),2)),"")</f>
        <v/>
      </c>
      <c r="N57" s="51" t="str">
        <f>IF('Personnel Yr 1'!$J$5&gt;2,IF(OR(ISBLANK(M57),M57=""),"",ROUND(SUM(L57:M57),2)),"")</f>
        <v/>
      </c>
      <c r="O57" s="157"/>
      <c r="P57" s="336">
        <f>IF('Personnel Yr 1'!$J$5&gt;2,IF(NOT(OR(ISBLANK(I57),I57="")),(H57/12)*I57,""),0)</f>
        <v>0</v>
      </c>
      <c r="Q57" s="337">
        <f>IF('Personnel Yr 1'!$J$5&gt;2,IF(NOT(OR(ISBLANK(J57),J57="")),(H57/8.5)*J57,""),0)</f>
        <v>0</v>
      </c>
      <c r="R57" s="336">
        <f>IF('Personnel Yr 1'!$J$5&gt;2,IF(NOT(OR(ISBLANK(K57),K57="")),(H57/8.5)*K57,""),0)</f>
        <v>0</v>
      </c>
      <c r="T57" s="336">
        <f t="shared" si="3"/>
        <v>0</v>
      </c>
      <c r="U57" s="336">
        <f t="shared" si="4"/>
        <v>0</v>
      </c>
      <c r="V57" s="336">
        <f t="shared" si="5"/>
        <v>0</v>
      </c>
      <c r="X57" s="336">
        <v>57</v>
      </c>
      <c r="Y57" s="336" t="b">
        <f>IF('Personnel Yr 1'!$J$5&gt;2,IF(OR($N$5&lt;&gt;"Federal - NIH",OR(AND(ISBLANK(I57),ISBLANK(J57),ISBLANK(K57)),AND(I57="",J57="",K57=""))),FALSE,IF(I57&gt;0,H57&gt;NIHSalaryCap,H57&gt;(NIHSalaryCap*8.5)/12)),FALSE)</f>
        <v>0</v>
      </c>
    </row>
    <row r="58" spans="1:25" ht="13.5" thickBot="1" x14ac:dyDescent="0.25">
      <c r="A58" s="5">
        <v>15</v>
      </c>
      <c r="B58" s="175" t="str">
        <f>IF('Personnel Yr 1'!$J$5&gt;2,IF(NOT(OR(ISBLANK('Personnel Yr 2'!B58),'Personnel Yr 2'!B58="")),'Personnel Yr 2'!B58,""),"")</f>
        <v/>
      </c>
      <c r="C58" s="29" t="str">
        <f>IF('Personnel Yr 1'!$J$5&gt;2,IF(ISBLANK('Personnel Yr 2'!C58),"",'Personnel Yr 2'!C58),"")</f>
        <v/>
      </c>
      <c r="D58" s="29" t="str">
        <f>IF('Personnel Yr 1'!$J$5&gt;2,IF(ISBLANK('Personnel Yr 2'!D58),"",'Personnel Yr 2'!D58),"")</f>
        <v/>
      </c>
      <c r="E58" s="29" t="str">
        <f>IF('Personnel Yr 1'!$J$5&gt;2,IF(ISBLANK('Personnel Yr 2'!E58),"",'Personnel Yr 2'!E58),"")</f>
        <v/>
      </c>
      <c r="F58" s="29" t="str">
        <f>IF('Personnel Yr 1'!$J$5&gt;2,IF(ISBLANK('Personnel Yr 2'!F58),"",'Personnel Yr 2'!F58),"")</f>
        <v/>
      </c>
      <c r="G58" s="179" t="str">
        <f>IF('Personnel Yr 1'!$J$5&gt;2,IF(ISBLANK('Personnel Yr 2'!G58),"",'Personnel Yr 2'!G58),"")</f>
        <v/>
      </c>
      <c r="H58" s="43" t="str">
        <f>IF('Personnel Yr 1'!$J$5&gt;2,IF(NOT(OR(ISBLANK('Personnel Yr 2'!H58),'Personnel Yr 2'!H58="")),(('Personnel Yr 2'!H58*'Personnel Yr 1'!$D$5)+'Personnel Yr 2'!H58),""),"")</f>
        <v/>
      </c>
      <c r="I58" s="29" t="str">
        <f>IF('Personnel Yr 1'!$J$5&gt;2,IF(AND(OR(ISBLANK(H58),H58=""),ISBLANK('Personnel Yr 2'!I58)),"",'Personnel Yr 2'!I58),"")</f>
        <v/>
      </c>
      <c r="J58" s="29" t="str">
        <f>IF('Personnel Yr 1'!$J$5&gt;2,IF(AND(OR(ISBLANK(I58),I58=""),ISBLANK('Personnel Yr 2'!J58)),"",'Personnel Yr 2'!J58),"")</f>
        <v/>
      </c>
      <c r="K58" s="29" t="str">
        <f>IF('Personnel Yr 1'!$J$5&gt;2,IF(AND(OR(ISBLANK(J58),J58=""),ISBLANK('Personnel Yr 2'!K58)),"",'Personnel Yr 2'!K58),"")</f>
        <v/>
      </c>
      <c r="L58" s="52" t="str">
        <f>IF('Personnel Yr 1'!$J$5&gt;2,IF(NOT(OR(ISBLANK(H58),H58="")), IF(OR(AND(ISBLANK(I58),ISBLANK(J58),ISBLANK(K58)),AND(I58="",J58="",K58="")),0, IF((AND((I58&gt;0),((J58+K58)&gt;0))),"Error", IF((I58&gt;0),ROUND((IF(AND('Personnel Yr 1'!$O$5&gt;0,H58&gt;'Personnel Yr 1'!$O$5),'Personnel Yr 1'!$O$5,H58)*(I58/12)),2),ROUND((IF(AND('Personnel Yr 1'!$O$5&gt;0,H58&gt;'Personnel Yr 1'!$O$5),'Personnel Yr 1'!$O$5,H58)*((J58+K58)/8.5)),2)))),""),"")</f>
        <v/>
      </c>
      <c r="M58" s="180" t="str">
        <f>IF('Personnel Yr 1'!$J$5&gt;2,IF(OR(ISBLANK(L58),L58=""),"",ROUND(SUM(T58:V58),2)),"")</f>
        <v/>
      </c>
      <c r="N58" s="181" t="str">
        <f>IF('Personnel Yr 1'!$J$5&gt;2,IF(OR(ISBLANK(M58),M58=""),"",ROUND(SUM(L58:M58),2)),"")</f>
        <v/>
      </c>
      <c r="O58" s="161"/>
      <c r="P58" s="336">
        <f>IF('Personnel Yr 1'!$J$5&gt;2,IF(NOT(OR(ISBLANK(I58),I58="")),(H58/12)*I58,""),0)</f>
        <v>0</v>
      </c>
      <c r="Q58" s="337">
        <f>IF('Personnel Yr 1'!$J$5&gt;2,IF(NOT(OR(ISBLANK(J58),J58="")),(H58/8.5)*J58,""),0)</f>
        <v>0</v>
      </c>
      <c r="R58" s="336">
        <f>IF('Personnel Yr 1'!$J$5&gt;2,IF(NOT(OR(ISBLANK(K58),K58="")),(H58/8.5)*K58,""),0)</f>
        <v>0</v>
      </c>
      <c r="T58" s="336">
        <f t="shared" si="3"/>
        <v>0</v>
      </c>
      <c r="U58" s="336">
        <f t="shared" si="4"/>
        <v>0</v>
      </c>
      <c r="V58" s="336">
        <f t="shared" si="5"/>
        <v>0</v>
      </c>
      <c r="X58" s="336">
        <v>58</v>
      </c>
      <c r="Y58" s="336" t="b">
        <f>IF('Personnel Yr 1'!$J$5&gt;2,IF(OR($N$5&lt;&gt;"Federal - NIH",OR(AND(ISBLANK(I58),ISBLANK(J58),ISBLANK(K58)),AND(I58="",J58="",K58=""))),FALSE,IF(I58&gt;0,H58&gt;NIHSalaryCap,H58&gt;(NIHSalaryCap*8.5)/12)),FALSE)</f>
        <v>0</v>
      </c>
    </row>
    <row r="59" spans="1:25" ht="13.5" thickBot="1" x14ac:dyDescent="0.25">
      <c r="B59" s="27">
        <f>ROWS(E44:E58)-COUNTIF(E44:E58,"")</f>
        <v>0</v>
      </c>
      <c r="N59" s="56">
        <f>SUM(N44:N58)</f>
        <v>0</v>
      </c>
      <c r="P59" s="336">
        <f>SUM(P44:P58)</f>
        <v>0</v>
      </c>
      <c r="Q59" s="336">
        <f t="shared" ref="Q59:V59" si="6">SUM(Q44:Q58)</f>
        <v>0</v>
      </c>
      <c r="R59" s="336">
        <f t="shared" si="6"/>
        <v>0</v>
      </c>
      <c r="S59" s="336">
        <f t="shared" si="6"/>
        <v>0</v>
      </c>
      <c r="T59" s="336">
        <f t="shared" si="6"/>
        <v>0</v>
      </c>
      <c r="U59" s="336">
        <f t="shared" si="6"/>
        <v>0</v>
      </c>
      <c r="V59" s="336">
        <f t="shared" si="6"/>
        <v>0</v>
      </c>
    </row>
  </sheetData>
  <sheetProtection algorithmName="SHA-512" hashValue="iP/mMl2eGZscHZyClTHaoHRpj/j1tMC5BRxK9z5yEac379be1gNUltdckchpMT4eXmgIxf2DcFXmkOESNvm4GA==" saltValue="wiahhFwmon3G2LdK0e1VwQ==" spinCount="100000" sheet="1" objects="1" scenarios="1"/>
  <mergeCells count="23">
    <mergeCell ref="A1:N1"/>
    <mergeCell ref="B5:C5"/>
    <mergeCell ref="C15:F15"/>
    <mergeCell ref="J16:M16"/>
    <mergeCell ref="G15:M15"/>
    <mergeCell ref="B19:C19"/>
    <mergeCell ref="D19:K19"/>
    <mergeCell ref="A3:N3"/>
    <mergeCell ref="C21:H21"/>
    <mergeCell ref="C24:H24"/>
    <mergeCell ref="C22:H22"/>
    <mergeCell ref="C16:F16"/>
    <mergeCell ref="C23:F23"/>
    <mergeCell ref="B42:D42"/>
    <mergeCell ref="H33:L34"/>
    <mergeCell ref="H35:L39"/>
    <mergeCell ref="I30:M30"/>
    <mergeCell ref="C25:H25"/>
    <mergeCell ref="C26:H26"/>
    <mergeCell ref="C29:F29"/>
    <mergeCell ref="I29:M29"/>
    <mergeCell ref="C27:H27"/>
    <mergeCell ref="C28:H28"/>
  </mergeCells>
  <phoneticPr fontId="5" type="noConversion"/>
  <conditionalFormatting sqref="L21:L26">
    <cfRule type="cellIs" dxfId="23" priority="29" stopIfTrue="1" operator="lessThan">
      <formula>1</formula>
    </cfRule>
  </conditionalFormatting>
  <conditionalFormatting sqref="H23">
    <cfRule type="cellIs" dxfId="22" priority="30" stopIfTrue="1" operator="equal">
      <formula>""</formula>
    </cfRule>
  </conditionalFormatting>
  <conditionalFormatting sqref="L27:L28">
    <cfRule type="cellIs" dxfId="21" priority="27" stopIfTrue="1" operator="lessThan">
      <formula>1</formula>
    </cfRule>
  </conditionalFormatting>
  <conditionalFormatting sqref="H7:H14">
    <cfRule type="expression" dxfId="20" priority="2">
      <formula>$Y$7</formula>
    </cfRule>
  </conditionalFormatting>
  <conditionalFormatting sqref="H44:H58">
    <cfRule type="expression" dxfId="19" priority="1">
      <formula>$Y$7</formula>
    </cfRule>
  </conditionalFormatting>
  <dataValidations disablePrompts="1" count="3">
    <dataValidation type="list" allowBlank="1" showInputMessage="1" showErrorMessage="1" sqref="H23" xr:uid="{00000000-0002-0000-0300-000000000000}">
      <formula1>Grad</formula1>
    </dataValidation>
    <dataValidation type="list" allowBlank="1" showInputMessage="1" showErrorMessage="1" sqref="B7:B14 B44:B58" xr:uid="{00000000-0002-0000-0300-000001000000}">
      <formula1>Prefix</formula1>
    </dataValidation>
    <dataValidation type="list" allowBlank="1" showInputMessage="1" showErrorMessage="1" sqref="G7:G14 G44:G58" xr:uid="{00000000-0002-0000-0300-000002000000}">
      <formula1>Roles</formula1>
    </dataValidation>
  </dataValidations>
  <printOptions horizontalCentered="1"/>
  <pageMargins left="0.25" right="0.25" top="0.5" bottom="0.5" header="0.5" footer="0.5"/>
  <pageSetup scale="91" orientation="landscape" r:id="rId1"/>
  <headerFooter alignWithMargins="0">
    <oddFooter>&amp;RPrinted On: &amp;D &amp;T</oddFooter>
  </headerFooter>
  <colBreaks count="1" manualBreakCount="1">
    <brk id="14" max="1048575" man="1"/>
  </colBreaks>
  <ignoredErrors>
    <ignoredError sqref="J29:K31 B29:G31 I29:I31 H29:H31 L29:L31 M29:M31 N17:N20 N30:N31 N25 N7:N8 N9:N14 N21:N22 H21:H22 I21:I26 B9:G14 M21:M24 B21:G22 J21:K26 L15:L20 B7:G8 J15:K20 B17:G20 M15:M20 I15:I20 H15:H20 L21 B44:G58 C15:G16 L26:L28 M44:N44 M45:N58 B24:G24 B23:C23 G23 L24:L25 N24 H24:H26 B26:G26 B25 D25:G25" unlockedFormula="1"/>
    <ignoredError sqref="M25" formula="1" unlockedFormula="1"/>
  </ignoredErrors>
  <extLst>
    <ext xmlns:x14="http://schemas.microsoft.com/office/spreadsheetml/2009/9/main" uri="{78C0D931-6437-407d-A8EE-F0AAD7539E65}">
      <x14:conditionalFormattings>
        <x14:conditionalFormatting xmlns:xm="http://schemas.microsoft.com/office/excel/2006/main">
          <x14:cfRule type="expression" priority="26" id="{7621815F-B6DD-472E-8F03-F1C5CA67CFB4}">
            <xm:f>IF('Personnel Yr 1'!N5="Federal - NIH",SUM('Non-personnel'!$L$41,$N$23)/IF(OR(ISBLANK($B$23),NOT(ISNUMBER($B$23))),1,$B$23)&gt;NIHGradLimit)</xm:f>
            <x14:dxf>
              <fill>
                <patternFill>
                  <bgColor rgb="FFFFFF00"/>
                </patternFill>
              </fill>
            </x14:dxf>
          </x14:cfRule>
          <xm:sqref>N23</xm:sqref>
        </x14:conditionalFormatting>
      </x14:conditionalFormattings>
    </ext>
    <ext xmlns:x14="http://schemas.microsoft.com/office/spreadsheetml/2009/9/main" uri="{CCE6A557-97BC-4b89-ADB6-D9C93CAAB3DF}">
      <x14:dataValidations xmlns:xm="http://schemas.microsoft.com/office/excel/2006/main" disablePrompts="1" count="2">
        <x14:dataValidation type="custom" errorStyle="information" allowBlank="1" showInputMessage="1" showErrorMessage="1" errorTitle="Salary Cap Error" error="Base salary should remain under $185,100 for calandar appointments and $131,112 for academic appointments." xr:uid="{00000000-0002-0000-0300-000003000000}">
          <x14:formula1>
            <xm:f>IF(AND('Personnel Yr 1'!$N$5="Federal - NIH",OR(NOT(ISBLANK($I7)),NOT(ISBLANK($J7)),NOT(ISBLANK($K7)),$I7&lt;&gt;"",$J7&lt;&gt;"",$K7&lt;&gt;"")),IF($I7&gt;0,$H7&lt;=NIHSalaryCap,$H7&lt;=(NIHSalaryCap*8.5)/12),TRUE)</xm:f>
          </x14:formula1>
          <xm:sqref>H7:K14 H44:K58</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300-000004000000}">
          <x14:formula1>
            <xm:f>OR(AND('Personnel Yr 1'!N5="Federal - NIH",SUM('Non-personnel'!$L$41,$N$23)/IF(OR(ISBLANK(B23),NOT(ISNUMBER(B23))),1,B23)&lt;=NIHGradLimit),'Personnel Yr 1'!N5&lt;&gt;"Federal - NIH")</xm:f>
          </x14:formula1>
          <xm:sqref>L23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Y59"/>
  <sheetViews>
    <sheetView zoomScaleNormal="100" workbookViewId="0">
      <selection activeCell="A2" sqref="A2"/>
    </sheetView>
  </sheetViews>
  <sheetFormatPr defaultRowHeight="12.75" x14ac:dyDescent="0.2"/>
  <cols>
    <col min="1" max="1" width="3" bestFit="1" customWidth="1"/>
    <col min="2" max="2" width="6.5703125" customWidth="1"/>
    <col min="3" max="3" width="18.7109375" customWidth="1"/>
    <col min="4" max="4" width="9.28515625" customWidth="1"/>
    <col min="5" max="5" width="18.7109375" customWidth="1"/>
    <col min="6" max="6" width="6.28515625" customWidth="1"/>
    <col min="7" max="7" width="18.85546875" customWidth="1"/>
    <col min="8" max="8" width="10.5703125" customWidth="1"/>
    <col min="9" max="11" width="7.42578125" customWidth="1"/>
    <col min="12" max="14" width="10.5703125" customWidth="1"/>
    <col min="15" max="15" width="72.140625" customWidth="1"/>
    <col min="16" max="25" width="9.140625" style="336"/>
  </cols>
  <sheetData>
    <row r="1" spans="1:25" ht="18" x14ac:dyDescent="0.25">
      <c r="A1" s="561" t="s">
        <v>507</v>
      </c>
      <c r="B1" s="561"/>
      <c r="C1" s="561"/>
      <c r="D1" s="561"/>
      <c r="E1" s="561"/>
      <c r="F1" s="561"/>
      <c r="G1" s="561"/>
      <c r="H1" s="561"/>
      <c r="I1" s="561"/>
      <c r="J1" s="561"/>
      <c r="K1" s="561"/>
      <c r="L1" s="561"/>
      <c r="M1" s="561"/>
      <c r="N1" s="561"/>
    </row>
    <row r="2" spans="1:25" x14ac:dyDescent="0.2">
      <c r="A2" s="1"/>
      <c r="B2" s="1"/>
      <c r="C2" s="1"/>
      <c r="D2" s="1"/>
      <c r="E2" s="1"/>
      <c r="F2" s="1"/>
      <c r="G2" s="1"/>
      <c r="H2" s="1"/>
      <c r="I2" s="1"/>
      <c r="J2" s="1"/>
      <c r="K2" s="1"/>
      <c r="L2" s="1"/>
      <c r="M2" s="1"/>
      <c r="N2" s="1"/>
    </row>
    <row r="3" spans="1:25" ht="18" x14ac:dyDescent="0.25">
      <c r="A3" s="561" t="s">
        <v>80</v>
      </c>
      <c r="B3" s="561"/>
      <c r="C3" s="561"/>
      <c r="D3" s="561"/>
      <c r="E3" s="561"/>
      <c r="F3" s="561"/>
      <c r="G3" s="561"/>
      <c r="H3" s="561"/>
      <c r="I3" s="561"/>
      <c r="J3" s="561"/>
      <c r="K3" s="561"/>
      <c r="L3" s="561"/>
      <c r="M3" s="561"/>
      <c r="N3" s="561"/>
    </row>
    <row r="4" spans="1:25" ht="18" x14ac:dyDescent="0.25">
      <c r="A4" s="63"/>
      <c r="B4" s="63"/>
      <c r="C4" s="63"/>
      <c r="D4" s="63"/>
      <c r="E4" s="63"/>
      <c r="F4" s="63"/>
      <c r="G4" s="63"/>
      <c r="H4" s="63"/>
      <c r="I4" s="63"/>
      <c r="J4" s="63"/>
      <c r="K4" s="63"/>
      <c r="L4" s="63"/>
      <c r="M4" s="63"/>
      <c r="N4" s="63"/>
    </row>
    <row r="5" spans="1:25" x14ac:dyDescent="0.2">
      <c r="A5" s="2"/>
      <c r="B5" s="562" t="s">
        <v>5</v>
      </c>
      <c r="C5" s="562"/>
      <c r="D5" s="74"/>
      <c r="E5" s="2"/>
      <c r="F5" s="2"/>
      <c r="G5" s="2"/>
      <c r="H5" s="2"/>
      <c r="I5" s="2"/>
      <c r="J5" s="2"/>
      <c r="K5" s="2"/>
      <c r="L5" s="2"/>
      <c r="M5" s="2"/>
      <c r="N5" s="347" t="str">
        <f>'Personnel Yr 3'!N5</f>
        <v>Fnd/Prof Soc</v>
      </c>
      <c r="O5" s="9"/>
    </row>
    <row r="6" spans="1:25" ht="26.25" thickBot="1" x14ac:dyDescent="0.25">
      <c r="A6" s="2"/>
      <c r="B6" s="4" t="s">
        <v>0</v>
      </c>
      <c r="C6" s="3" t="s">
        <v>1</v>
      </c>
      <c r="D6" s="3" t="s">
        <v>2</v>
      </c>
      <c r="E6" s="3" t="s">
        <v>3</v>
      </c>
      <c r="F6" s="3" t="s">
        <v>4</v>
      </c>
      <c r="G6" s="3" t="s">
        <v>42</v>
      </c>
      <c r="H6" s="3" t="s">
        <v>43</v>
      </c>
      <c r="I6" s="3" t="s">
        <v>60</v>
      </c>
      <c r="J6" s="3" t="s">
        <v>61</v>
      </c>
      <c r="K6" s="3" t="s">
        <v>62</v>
      </c>
      <c r="L6" s="4" t="s">
        <v>44</v>
      </c>
      <c r="M6" s="3" t="s">
        <v>45</v>
      </c>
      <c r="N6" s="3" t="s">
        <v>41</v>
      </c>
      <c r="O6" s="3" t="s">
        <v>234</v>
      </c>
      <c r="P6" s="335" t="s">
        <v>66</v>
      </c>
      <c r="Q6" s="335" t="s">
        <v>67</v>
      </c>
      <c r="R6" s="335" t="s">
        <v>68</v>
      </c>
      <c r="T6" s="335" t="s">
        <v>66</v>
      </c>
      <c r="U6" s="335" t="s">
        <v>67</v>
      </c>
      <c r="V6" s="335" t="s">
        <v>68</v>
      </c>
      <c r="Y6" s="336" t="s">
        <v>464</v>
      </c>
    </row>
    <row r="7" spans="1:25" x14ac:dyDescent="0.2">
      <c r="A7" s="5">
        <v>1</v>
      </c>
      <c r="B7" s="75" t="str">
        <f>IF('Personnel Yr 1'!$J$5&gt;3,IF(NOT(OR(ISBLANK('Personnel Yr 3'!B7),'Personnel Yr 3'!B7="")),'Personnel Yr 3'!B7,""),"")</f>
        <v/>
      </c>
      <c r="C7" s="17" t="str">
        <f>IF('Personnel Yr 1'!$J$5&gt;3,IF(ISBLANK('Personnel Yr 3'!C7),"",'Personnel Yr 3'!C7),"")</f>
        <v/>
      </c>
      <c r="D7" s="17" t="str">
        <f>IF('Personnel Yr 1'!$J$5&gt;3,IF(ISBLANK('Personnel Yr 3'!D7),"",'Personnel Yr 3'!D7),"")</f>
        <v/>
      </c>
      <c r="E7" s="17" t="str">
        <f>IF('Personnel Yr 1'!$J$5&gt;3,IF(ISBLANK('Personnel Yr 3'!E7),"",'Personnel Yr 3'!E7),"")</f>
        <v/>
      </c>
      <c r="F7" s="17" t="str">
        <f>IF('Personnel Yr 1'!$J$5&gt;3,IF(ISBLANK('Personnel Yr 3'!F7),"",'Personnel Yr 3'!F7),"")</f>
        <v/>
      </c>
      <c r="G7" s="17" t="str">
        <f>IF('Personnel Yr 1'!$J$5&gt;3,IF(ISBLANK('Personnel Yr 3'!G7),"",'Personnel Yr 3'!G7),"")</f>
        <v/>
      </c>
      <c r="H7" s="177" t="str">
        <f>IF('Personnel Yr 1'!$J$5&gt;3,IF(NOT(OR(ISBLANK('Personnel Yr 3'!H7),'Personnel Yr 3'!H7="")),(('Personnel Yr 3'!H7*'Personnel Yr 1'!$D$5)+'Personnel Yr 3'!H7),""),"")</f>
        <v/>
      </c>
      <c r="I7" s="17" t="str">
        <f>IF('Personnel Yr 1'!$J$5&gt;3,IF(AND(OR(ISBLANK(H7),H7=""),ISBLANK('Personnel Yr 3'!I7)),"",'Personnel Yr 3'!I7),"")</f>
        <v/>
      </c>
      <c r="J7" s="17" t="str">
        <f>IF('Personnel Yr 1'!$J$5&gt;3,IF(AND(OR(ISBLANK(I7),I7=""),ISBLANK('Personnel Yr 3'!J7)),"",'Personnel Yr 3'!J7),"")</f>
        <v/>
      </c>
      <c r="K7" s="17" t="str">
        <f>IF('Personnel Yr 1'!$J$5&gt;3,IF(AND(OR(ISBLANK(J7),J7=""),ISBLANK('Personnel Yr 3'!K7)),"",'Personnel Yr 3'!K7),"")</f>
        <v/>
      </c>
      <c r="L7" s="45" t="str">
        <f>IF('Personnel Yr 1'!$J$5&gt;3,IF(NOT(OR(ISBLANK(H7),H7="")), IF(OR(AND(ISBLANK(I7),ISBLANK(J7),ISBLANK(K7)),AND(I7="",J7="",K7="")),0, IF((AND((I7&gt;0),((J7+K7)&gt;0))),"Error", IF((I7&gt;0),ROUND((IF(AND('Personnel Yr 1'!$O$5&gt;0,H7&gt;'Personnel Yr 1'!$O$5),'Personnel Yr 1'!$O$5,H7)*(I7/12)),2),ROUND((IF(AND('Personnel Yr 1'!$O$5&gt;0,H7&gt;'Personnel Yr 1'!$O$5),'Personnel Yr 1'!$O$5,H7)*((J7+K7)/8.5)),2)))),""),"")</f>
        <v/>
      </c>
      <c r="M7" s="45" t="str">
        <f>IF('Personnel Yr 1'!$J$5&gt;3,IF(OR(ISBLANK(L7),L7=""),"",ROUND(SUM(T7:V7),2)),"")</f>
        <v/>
      </c>
      <c r="N7" s="46" t="str">
        <f>IF('Personnel Yr 1'!$J$5&gt;3,IF(OR(ISBLANK(M7),M7=""),"",ROUND(SUM(L7:M7),2)),"")</f>
        <v/>
      </c>
      <c r="O7" s="158"/>
      <c r="P7" s="336">
        <f>IF('Personnel Yr 1'!$J$5&gt;3,IF(NOT(OR(ISBLANK(I7),I7="")),(H7/12)*I7,""),0)</f>
        <v>0</v>
      </c>
      <c r="Q7" s="336">
        <f>IF('Personnel Yr 1'!$J$5&gt;3,IF(NOT(OR(ISBLANK(J7),J7="")),(H7/8.5)*J7,""),0)</f>
        <v>0</v>
      </c>
      <c r="R7" s="336">
        <f>IF('Personnel Yr 1'!$J$5&gt;3,IF(NOT(OR(ISBLANK(K7),K7="")),(H7/8.5)*K7,""),0)</f>
        <v>0</v>
      </c>
      <c r="T7" s="347">
        <f>IF(OR(ISBLANK(P7),P7=""),0,P7*LOOKUP("Full",Ben,Per))</f>
        <v>0</v>
      </c>
      <c r="U7" s="347">
        <f>IF(OR(ISBLANK(Q7),Q7=""),0,Q7*LOOKUP("Full",Ben,Per))</f>
        <v>0</v>
      </c>
      <c r="V7" s="347">
        <f>IF(OR(ISBLANK(R7),R7=""),0,R7*LOOKUP("Summer",Ben,Per))</f>
        <v>0</v>
      </c>
      <c r="X7" s="336">
        <v>7</v>
      </c>
      <c r="Y7" s="336" t="b">
        <f>IF('Personnel Yr 1'!$J$5&gt;3,IF(OR($N$5&lt;&gt;"Federal - NIH",OR(AND(ISBLANK(I7),ISBLANK(J7),ISBLANK(K7)),AND(I7="",J7="",K7=""))),FALSE,IF(I7&gt;0,H7&gt;NIHSalaryCap,H7&gt;(NIHSalaryCap*8.5)/12)),FALSE)</f>
        <v>0</v>
      </c>
    </row>
    <row r="8" spans="1:25" x14ac:dyDescent="0.2">
      <c r="A8" s="5">
        <v>2</v>
      </c>
      <c r="B8" s="6" t="str">
        <f>IF('Personnel Yr 1'!$J$5&gt;3,IF(NOT(OR(ISBLANK('Personnel Yr 3'!B8),'Personnel Yr 3'!B8="")),'Personnel Yr 3'!B8,""),"")</f>
        <v/>
      </c>
      <c r="C8" s="22" t="str">
        <f>IF('Personnel Yr 1'!$J$5&gt;3,IF(ISBLANK('Personnel Yr 3'!C8),"",'Personnel Yr 3'!C8),"")</f>
        <v/>
      </c>
      <c r="D8" s="22" t="str">
        <f>IF('Personnel Yr 1'!$J$5&gt;3,IF(ISBLANK('Personnel Yr 3'!D8),"",'Personnel Yr 3'!D8),"")</f>
        <v/>
      </c>
      <c r="E8" s="22" t="str">
        <f>IF('Personnel Yr 1'!$J$5&gt;3,IF(ISBLANK('Personnel Yr 3'!E8),"",'Personnel Yr 3'!E8),"")</f>
        <v/>
      </c>
      <c r="F8" s="22" t="str">
        <f>IF('Personnel Yr 1'!$J$5&gt;3,IF(ISBLANK('Personnel Yr 3'!F8),"",'Personnel Yr 3'!F8),"")</f>
        <v/>
      </c>
      <c r="G8" s="22" t="str">
        <f>IF('Personnel Yr 1'!$J$5&gt;3,IF(ISBLANK('Personnel Yr 3'!G8),"",'Personnel Yr 3'!G8),"")</f>
        <v/>
      </c>
      <c r="H8" s="42" t="str">
        <f>IF('Personnel Yr 1'!$J$5&gt;3,IF(NOT(OR(ISBLANK('Personnel Yr 3'!H8),'Personnel Yr 3'!H8="")),(('Personnel Yr 3'!H8*'Personnel Yr 1'!$D$5)+'Personnel Yr 3'!H8),""),"")</f>
        <v/>
      </c>
      <c r="I8" s="22" t="str">
        <f>IF('Personnel Yr 1'!$J$5&gt;3,IF(AND(OR(ISBLANK(H8),H8=""),ISBLANK('Personnel Yr 3'!I8)),"",'Personnel Yr 3'!I8),"")</f>
        <v/>
      </c>
      <c r="J8" s="22" t="str">
        <f>IF('Personnel Yr 1'!$J$5&gt;3,IF(AND(OR(ISBLANK(I8),I8=""),ISBLANK('Personnel Yr 3'!J8)),"",'Personnel Yr 3'!J8),"")</f>
        <v/>
      </c>
      <c r="K8" s="22" t="str">
        <f>IF('Personnel Yr 1'!$J$5&gt;3,IF(AND(OR(ISBLANK(J8),J8=""),ISBLANK('Personnel Yr 3'!K8)),"",'Personnel Yr 3'!K8),"")</f>
        <v/>
      </c>
      <c r="L8" s="44" t="str">
        <f>IF('Personnel Yr 1'!$J$5&gt;3,IF(NOT(OR(ISBLANK(H8),H8="")), IF(OR(AND(ISBLANK(I8),ISBLANK(J8),ISBLANK(K8)),AND(I8="",J8="",K8="")),0, IF((AND((I8&gt;0),((J8+K8)&gt;0))),"Error", IF((I8&gt;0),ROUND((IF(AND('Personnel Yr 1'!$O$5&gt;0,H8&gt;'Personnel Yr 1'!$O$5),'Personnel Yr 1'!$O$5,H8)*(I8/12)),2),ROUND((IF(AND('Personnel Yr 1'!$O$5&gt;0,H8&gt;'Personnel Yr 1'!$O$5),'Personnel Yr 1'!$O$5,H8)*((J8+K8)/8.5)),2)))),""),"")</f>
        <v/>
      </c>
      <c r="M8" s="44" t="str">
        <f>IF('Personnel Yr 1'!$J$5&gt;3,IF(OR(ISBLANK(L8),L8=""),"",ROUND(SUM(T8:V8),2)),"")</f>
        <v/>
      </c>
      <c r="N8" s="51" t="str">
        <f>IF('Personnel Yr 1'!$J$5&gt;3,IF(OR(ISBLANK(M8),M8=""),"",ROUND(SUM(L8:M8),2)),"")</f>
        <v/>
      </c>
      <c r="O8" s="159"/>
      <c r="P8" s="336">
        <f>IF('Personnel Yr 1'!$J$5&gt;3,IF(NOT(OR(ISBLANK(I8),I8="")),(H8/12)*I8,""),0)</f>
        <v>0</v>
      </c>
      <c r="Q8" s="336">
        <f>IF('Personnel Yr 1'!$J$5&gt;3,IF(NOT(OR(ISBLANK(J8),J8="")),(H8/8.5)*J8,""),0)</f>
        <v>0</v>
      </c>
      <c r="R8" s="336">
        <f>IF('Personnel Yr 1'!$J$5&gt;3,IF(NOT(OR(ISBLANK(K8),K8="")),(H8/8.5)*K8,""),0)</f>
        <v>0</v>
      </c>
      <c r="T8" s="347">
        <f t="shared" ref="T8:U14" si="0">IF(OR(ISBLANK(P8),P8=""),0,P8*LOOKUP("Full",Ben,Per))</f>
        <v>0</v>
      </c>
      <c r="U8" s="347">
        <f t="shared" si="0"/>
        <v>0</v>
      </c>
      <c r="V8" s="347">
        <f t="shared" ref="V8:V14" si="1">IF(OR(ISBLANK(R8),R8=""),0,R8*LOOKUP("Summer",Ben,Per))</f>
        <v>0</v>
      </c>
      <c r="X8" s="336">
        <v>8</v>
      </c>
      <c r="Y8" s="336" t="b">
        <f>IF('Personnel Yr 1'!$J$5&gt;3,IF(OR($N$5&lt;&gt;"Federal - NIH",OR(AND(ISBLANK(I8),ISBLANK(J8),ISBLANK(K8)),AND(I8="",J8="",K8=""))),FALSE,IF(I8&gt;0,H8&gt;NIHSalaryCap,H8&gt;(NIHSalaryCap*8.5)/12)),FALSE)</f>
        <v>0</v>
      </c>
    </row>
    <row r="9" spans="1:25" x14ac:dyDescent="0.2">
      <c r="A9" s="5">
        <v>3</v>
      </c>
      <c r="B9" s="6" t="str">
        <f>IF('Personnel Yr 1'!$J$5&gt;3,IF(NOT(OR(ISBLANK('Personnel Yr 3'!B9),'Personnel Yr 3'!B9="")),'Personnel Yr 3'!B9,""),"")</f>
        <v/>
      </c>
      <c r="C9" s="22" t="str">
        <f>IF('Personnel Yr 1'!$J$5&gt;3,IF(ISBLANK('Personnel Yr 3'!C9),"",'Personnel Yr 3'!C9),"")</f>
        <v/>
      </c>
      <c r="D9" s="22" t="str">
        <f>IF('Personnel Yr 1'!$J$5&gt;3,IF(ISBLANK('Personnel Yr 3'!D9),"",'Personnel Yr 3'!D9),"")</f>
        <v/>
      </c>
      <c r="E9" s="22" t="str">
        <f>IF('Personnel Yr 1'!$J$5&gt;3,IF(ISBLANK('Personnel Yr 3'!E9),"",'Personnel Yr 3'!E9),"")</f>
        <v/>
      </c>
      <c r="F9" s="22" t="str">
        <f>IF('Personnel Yr 1'!$J$5&gt;3,IF(ISBLANK('Personnel Yr 3'!F9),"",'Personnel Yr 3'!F9),"")</f>
        <v/>
      </c>
      <c r="G9" s="22" t="str">
        <f>IF('Personnel Yr 1'!$J$5&gt;3,IF(ISBLANK('Personnel Yr 3'!G9),"",'Personnel Yr 3'!G9),"")</f>
        <v/>
      </c>
      <c r="H9" s="42" t="str">
        <f>IF('Personnel Yr 1'!$J$5&gt;3,IF(NOT(OR(ISBLANK('Personnel Yr 3'!H9),'Personnel Yr 3'!H9="")),(('Personnel Yr 3'!H9*'Personnel Yr 1'!$D$5)+'Personnel Yr 3'!H9),""),"")</f>
        <v/>
      </c>
      <c r="I9" s="22" t="str">
        <f>IF('Personnel Yr 1'!$J$5&gt;3,IF(AND(OR(ISBLANK(H9),H9=""),ISBLANK('Personnel Yr 3'!I9)),"",'Personnel Yr 3'!I9),"")</f>
        <v/>
      </c>
      <c r="J9" s="22" t="str">
        <f>IF('Personnel Yr 1'!$J$5&gt;3,IF(AND(OR(ISBLANK(I9),I9=""),ISBLANK('Personnel Yr 3'!J9)),"",'Personnel Yr 3'!J9),"")</f>
        <v/>
      </c>
      <c r="K9" s="22" t="str">
        <f>IF('Personnel Yr 1'!$J$5&gt;3,IF(AND(OR(ISBLANK(J9),J9=""),ISBLANK('Personnel Yr 3'!K9)),"",'Personnel Yr 3'!K9),"")</f>
        <v/>
      </c>
      <c r="L9" s="44" t="str">
        <f>IF('Personnel Yr 1'!$J$5&gt;3,IF(NOT(OR(ISBLANK(H9),H9="")), IF(OR(AND(ISBLANK(I9),ISBLANK(J9),ISBLANK(K9)),AND(I9="",J9="",K9="")),0, IF((AND((I9&gt;0),((J9+K9)&gt;0))),"Error", IF((I9&gt;0),ROUND((IF(AND('Personnel Yr 1'!$O$5&gt;0,H9&gt;'Personnel Yr 1'!$O$5),'Personnel Yr 1'!$O$5,H9)*(I9/12)),2),ROUND((IF(AND('Personnel Yr 1'!$O$5&gt;0,H9&gt;'Personnel Yr 1'!$O$5),'Personnel Yr 1'!$O$5,H9)*((J9+K9)/8.5)),2)))),""),"")</f>
        <v/>
      </c>
      <c r="M9" s="44" t="str">
        <f>IF('Personnel Yr 1'!$J$5&gt;3,IF(OR(ISBLANK(L9),L9=""),"",ROUND(SUM(T9:V9),2)),"")</f>
        <v/>
      </c>
      <c r="N9" s="51" t="str">
        <f>IF('Personnel Yr 1'!$J$5&gt;3,IF(OR(ISBLANK(M9),M9=""),"",ROUND(SUM(L9:M9),2)),"")</f>
        <v/>
      </c>
      <c r="O9" s="157"/>
      <c r="P9" s="336">
        <f>IF('Personnel Yr 1'!$J$5&gt;3,IF(NOT(OR(ISBLANK(I9),I9="")),(H9/12)*I9,""),0)</f>
        <v>0</v>
      </c>
      <c r="Q9" s="336">
        <f>IF('Personnel Yr 1'!$J$5&gt;3,IF(NOT(OR(ISBLANK(J9),J9="")),(H9/8.5)*J9,""),0)</f>
        <v>0</v>
      </c>
      <c r="R9" s="336">
        <f>IF('Personnel Yr 1'!$J$5&gt;3,IF(NOT(OR(ISBLANK(K9),K9="")),(H9/8.5)*K9,""),0)</f>
        <v>0</v>
      </c>
      <c r="T9" s="347">
        <f t="shared" si="0"/>
        <v>0</v>
      </c>
      <c r="U9" s="347">
        <f t="shared" si="0"/>
        <v>0</v>
      </c>
      <c r="V9" s="347">
        <f t="shared" si="1"/>
        <v>0</v>
      </c>
      <c r="X9" s="336">
        <v>9</v>
      </c>
      <c r="Y9" s="336" t="b">
        <f>IF('Personnel Yr 1'!$J$5&gt;3,IF(OR($N$5&lt;&gt;"Federal - NIH",OR(AND(ISBLANK(I9),ISBLANK(J9),ISBLANK(K9)),AND(I9="",J9="",K9=""))),FALSE,IF(I9&gt;0,H9&gt;NIHSalaryCap,H9&gt;(NIHSalaryCap*8.5)/12)),FALSE)</f>
        <v>0</v>
      </c>
    </row>
    <row r="10" spans="1:25" x14ac:dyDescent="0.2">
      <c r="A10" s="5">
        <v>4</v>
      </c>
      <c r="B10" s="6" t="str">
        <f>IF('Personnel Yr 1'!$J$5&gt;3,IF(NOT(OR(ISBLANK('Personnel Yr 3'!B10),'Personnel Yr 3'!B10="")),'Personnel Yr 3'!B10,""),"")</f>
        <v/>
      </c>
      <c r="C10" s="22" t="str">
        <f>IF('Personnel Yr 1'!$J$5&gt;3,IF(ISBLANK('Personnel Yr 3'!C10),"",'Personnel Yr 3'!C10),"")</f>
        <v/>
      </c>
      <c r="D10" s="22" t="str">
        <f>IF('Personnel Yr 1'!$J$5&gt;3,IF(ISBLANK('Personnel Yr 3'!D10),"",'Personnel Yr 3'!D10),"")</f>
        <v/>
      </c>
      <c r="E10" s="22" t="str">
        <f>IF('Personnel Yr 1'!$J$5&gt;3,IF(ISBLANK('Personnel Yr 3'!E10),"",'Personnel Yr 3'!E10),"")</f>
        <v/>
      </c>
      <c r="F10" s="22" t="str">
        <f>IF('Personnel Yr 1'!$J$5&gt;3,IF(ISBLANK('Personnel Yr 3'!F10),"",'Personnel Yr 3'!F10),"")</f>
        <v/>
      </c>
      <c r="G10" s="22" t="str">
        <f>IF('Personnel Yr 1'!$J$5&gt;3,IF(ISBLANK('Personnel Yr 3'!G10),"",'Personnel Yr 3'!G10),"")</f>
        <v/>
      </c>
      <c r="H10" s="42" t="str">
        <f>IF('Personnel Yr 1'!$J$5&gt;3,IF(NOT(OR(ISBLANK('Personnel Yr 3'!H10),'Personnel Yr 3'!H10="")),(('Personnel Yr 3'!H10*'Personnel Yr 1'!$D$5)+'Personnel Yr 3'!H10),""),"")</f>
        <v/>
      </c>
      <c r="I10" s="22" t="str">
        <f>IF('Personnel Yr 1'!$J$5&gt;3,IF(AND(OR(ISBLANK(H10),H10=""),ISBLANK('Personnel Yr 3'!I10)),"",'Personnel Yr 3'!I10),"")</f>
        <v/>
      </c>
      <c r="J10" s="22" t="str">
        <f>IF('Personnel Yr 1'!$J$5&gt;3,IF(AND(OR(ISBLANK(I10),I10=""),ISBLANK('Personnel Yr 3'!J10)),"",'Personnel Yr 3'!J10),"")</f>
        <v/>
      </c>
      <c r="K10" s="22" t="str">
        <f>IF('Personnel Yr 1'!$J$5&gt;3,IF(AND(OR(ISBLANK(J10),J10=""),ISBLANK('Personnel Yr 3'!K10)),"",'Personnel Yr 3'!K10),"")</f>
        <v/>
      </c>
      <c r="L10" s="44" t="str">
        <f>IF('Personnel Yr 1'!$J$5&gt;3,IF(NOT(OR(ISBLANK(H10),H10="")), IF(OR(AND(ISBLANK(I10),ISBLANK(J10),ISBLANK(K10)),AND(I10="",J10="",K10="")),0, IF((AND((I10&gt;0),((J10+K10)&gt;0))),"Error", IF((I10&gt;0),ROUND((IF(AND('Personnel Yr 1'!$O$5&gt;0,H10&gt;'Personnel Yr 1'!$O$5),'Personnel Yr 1'!$O$5,H10)*(I10/12)),2),ROUND((IF(AND('Personnel Yr 1'!$O$5&gt;0,H10&gt;'Personnel Yr 1'!$O$5),'Personnel Yr 1'!$O$5,H10)*((J10+K10)/8.5)),2)))),""),"")</f>
        <v/>
      </c>
      <c r="M10" s="44" t="str">
        <f>IF('Personnel Yr 1'!$J$5&gt;3,IF(OR(ISBLANK(L10),L10=""),"",ROUND(SUM(T10:V10),2)),"")</f>
        <v/>
      </c>
      <c r="N10" s="51" t="str">
        <f>IF('Personnel Yr 1'!$J$5&gt;3,IF(OR(ISBLANK(M10),M10=""),"",ROUND(SUM(L10:M10),2)),"")</f>
        <v/>
      </c>
      <c r="O10" s="160"/>
      <c r="P10" s="336">
        <f>IF('Personnel Yr 1'!$J$5&gt;3,IF(NOT(OR(ISBLANK(I10),I10="")),(H10/12)*I10,""),0)</f>
        <v>0</v>
      </c>
      <c r="Q10" s="336">
        <f>IF('Personnel Yr 1'!$J$5&gt;3,IF(NOT(OR(ISBLANK(J10),J10="")),(H10/8.5)*J10,""),0)</f>
        <v>0</v>
      </c>
      <c r="R10" s="336">
        <f>IF('Personnel Yr 1'!$J$5&gt;3,IF(NOT(OR(ISBLANK(K10),K10="")),(H10/8.5)*K10,""),0)</f>
        <v>0</v>
      </c>
      <c r="T10" s="347">
        <f t="shared" si="0"/>
        <v>0</v>
      </c>
      <c r="U10" s="347">
        <f t="shared" si="0"/>
        <v>0</v>
      </c>
      <c r="V10" s="347">
        <f t="shared" si="1"/>
        <v>0</v>
      </c>
      <c r="X10" s="336">
        <v>10</v>
      </c>
      <c r="Y10" s="336" t="b">
        <f>IF('Personnel Yr 1'!$J$5&gt;3,IF(OR($N$5&lt;&gt;"Federal - NIH",OR(AND(ISBLANK(I10),ISBLANK(J10),ISBLANK(K10)),AND(I10="",J10="",K10=""))),FALSE,IF(I10&gt;0,H10&gt;NIHSalaryCap,H10&gt;(NIHSalaryCap*8.5)/12)),FALSE)</f>
        <v>0</v>
      </c>
    </row>
    <row r="11" spans="1:25" x14ac:dyDescent="0.2">
      <c r="A11" s="5">
        <v>5</v>
      </c>
      <c r="B11" s="6" t="str">
        <f>IF('Personnel Yr 1'!$J$5&gt;3,IF(NOT(OR(ISBLANK('Personnel Yr 3'!B11),'Personnel Yr 3'!B11="")),'Personnel Yr 3'!B11,""),"")</f>
        <v/>
      </c>
      <c r="C11" s="22" t="str">
        <f>IF('Personnel Yr 1'!$J$5&gt;3,IF(ISBLANK('Personnel Yr 3'!C11),"",'Personnel Yr 3'!C11),"")</f>
        <v/>
      </c>
      <c r="D11" s="22" t="str">
        <f>IF('Personnel Yr 1'!$J$5&gt;3,IF(ISBLANK('Personnel Yr 3'!D11),"",'Personnel Yr 3'!D11),"")</f>
        <v/>
      </c>
      <c r="E11" s="22" t="str">
        <f>IF('Personnel Yr 1'!$J$5&gt;3,IF(ISBLANK('Personnel Yr 3'!E11),"",'Personnel Yr 3'!E11),"")</f>
        <v/>
      </c>
      <c r="F11" s="22" t="str">
        <f>IF('Personnel Yr 1'!$J$5&gt;3,IF(ISBLANK('Personnel Yr 3'!F11),"",'Personnel Yr 3'!F11),"")</f>
        <v/>
      </c>
      <c r="G11" s="22" t="str">
        <f>IF('Personnel Yr 1'!$J$5&gt;3,IF(ISBLANK('Personnel Yr 3'!G11),"",'Personnel Yr 3'!G11),"")</f>
        <v/>
      </c>
      <c r="H11" s="42" t="str">
        <f>IF('Personnel Yr 1'!$J$5&gt;3,IF(NOT(OR(ISBLANK('Personnel Yr 3'!H11),'Personnel Yr 3'!H11="")),(('Personnel Yr 3'!H11*'Personnel Yr 1'!$D$5)+'Personnel Yr 3'!H11),""),"")</f>
        <v/>
      </c>
      <c r="I11" s="22" t="str">
        <f>IF('Personnel Yr 1'!$J$5&gt;3,IF(AND(OR(ISBLANK(H11),H11=""),ISBLANK('Personnel Yr 3'!I11)),"",'Personnel Yr 3'!I11),"")</f>
        <v/>
      </c>
      <c r="J11" s="22" t="str">
        <f>IF('Personnel Yr 1'!$J$5&gt;3,IF(AND(OR(ISBLANK(I11),I11=""),ISBLANK('Personnel Yr 3'!J11)),"",'Personnel Yr 3'!J11),"")</f>
        <v/>
      </c>
      <c r="K11" s="22" t="str">
        <f>IF('Personnel Yr 1'!$J$5&gt;3,IF(AND(OR(ISBLANK(J11),J11=""),ISBLANK('Personnel Yr 3'!K11)),"",'Personnel Yr 3'!K11),"")</f>
        <v/>
      </c>
      <c r="L11" s="44" t="str">
        <f>IF('Personnel Yr 1'!$J$5&gt;3,IF(NOT(OR(ISBLANK(H11),H11="")), IF(OR(AND(ISBLANK(I11),ISBLANK(J11),ISBLANK(K11)),AND(I11="",J11="",K11="")),0, IF((AND((I11&gt;0),((J11+K11)&gt;0))),"Error", IF((I11&gt;0),ROUND((IF(AND('Personnel Yr 1'!$O$5&gt;0,H11&gt;'Personnel Yr 1'!$O$5),'Personnel Yr 1'!$O$5,H11)*(I11/12)),2),ROUND((IF(AND('Personnel Yr 1'!$O$5&gt;0,H11&gt;'Personnel Yr 1'!$O$5),'Personnel Yr 1'!$O$5,H11)*((J11+K11)/8.5)),2)))),""),"")</f>
        <v/>
      </c>
      <c r="M11" s="44" t="str">
        <f>IF('Personnel Yr 1'!$J$5&gt;3,IF(OR(ISBLANK(L11),L11=""),"",ROUND(SUM(T11:V11),2)),"")</f>
        <v/>
      </c>
      <c r="N11" s="51" t="str">
        <f>IF('Personnel Yr 1'!$J$5&gt;3,IF(OR(ISBLANK(M11),M11=""),"",ROUND(SUM(L11:M11),2)),"")</f>
        <v/>
      </c>
      <c r="O11" s="159"/>
      <c r="P11" s="336">
        <f>IF('Personnel Yr 1'!$J$5&gt;3,IF(NOT(OR(ISBLANK(I11),I11="")),(H11/12)*I11,""),0)</f>
        <v>0</v>
      </c>
      <c r="Q11" s="336">
        <f>IF('Personnel Yr 1'!$J$5&gt;3,IF(NOT(OR(ISBLANK(J11),J11="")),(H11/8.5)*J11,""),0)</f>
        <v>0</v>
      </c>
      <c r="R11" s="336">
        <f>IF('Personnel Yr 1'!$J$5&gt;3,IF(NOT(OR(ISBLANK(K11),K11="")),(H11/8.5)*K11,""),0)</f>
        <v>0</v>
      </c>
      <c r="T11" s="347">
        <f t="shared" si="0"/>
        <v>0</v>
      </c>
      <c r="U11" s="347">
        <f t="shared" si="0"/>
        <v>0</v>
      </c>
      <c r="V11" s="347">
        <f t="shared" si="1"/>
        <v>0</v>
      </c>
      <c r="X11" s="336">
        <v>11</v>
      </c>
      <c r="Y11" s="336" t="b">
        <f>IF('Personnel Yr 1'!$J$5&gt;3,IF(OR($N$5&lt;&gt;"Federal - NIH",OR(AND(ISBLANK(I11),ISBLANK(J11),ISBLANK(K11)),AND(I11="",J11="",K11=""))),FALSE,IF(I11&gt;0,H11&gt;NIHSalaryCap,H11&gt;(NIHSalaryCap*8.5)/12)),FALSE)</f>
        <v>0</v>
      </c>
    </row>
    <row r="12" spans="1:25" x14ac:dyDescent="0.2">
      <c r="A12" s="5">
        <v>6</v>
      </c>
      <c r="B12" s="6" t="str">
        <f>IF('Personnel Yr 1'!$J$5&gt;3,IF(NOT(OR(ISBLANK('Personnel Yr 3'!B12),'Personnel Yr 3'!B12="")),'Personnel Yr 3'!B12,""),"")</f>
        <v/>
      </c>
      <c r="C12" s="22" t="str">
        <f>IF('Personnel Yr 1'!$J$5&gt;3,IF(ISBLANK('Personnel Yr 3'!C12),"",'Personnel Yr 3'!C12),"")</f>
        <v/>
      </c>
      <c r="D12" s="22" t="str">
        <f>IF('Personnel Yr 1'!$J$5&gt;3,IF(ISBLANK('Personnel Yr 3'!D12),"",'Personnel Yr 3'!D12),"")</f>
        <v/>
      </c>
      <c r="E12" s="22" t="str">
        <f>IF('Personnel Yr 1'!$J$5&gt;3,IF(ISBLANK('Personnel Yr 3'!E12),"",'Personnel Yr 3'!E12),"")</f>
        <v/>
      </c>
      <c r="F12" s="22" t="str">
        <f>IF('Personnel Yr 1'!$J$5&gt;3,IF(ISBLANK('Personnel Yr 3'!F12),"",'Personnel Yr 3'!F12),"")</f>
        <v/>
      </c>
      <c r="G12" s="22" t="str">
        <f>IF('Personnel Yr 1'!$J$5&gt;3,IF(ISBLANK('Personnel Yr 3'!G12),"",'Personnel Yr 3'!G12),"")</f>
        <v/>
      </c>
      <c r="H12" s="42" t="str">
        <f>IF('Personnel Yr 1'!$J$5&gt;3,IF(NOT(OR(ISBLANK('Personnel Yr 3'!H12),'Personnel Yr 3'!H12="")),(('Personnel Yr 3'!H12*'Personnel Yr 1'!$D$5)+'Personnel Yr 3'!H12),""),"")</f>
        <v/>
      </c>
      <c r="I12" s="22" t="str">
        <f>IF('Personnel Yr 1'!$J$5&gt;3,IF(AND(OR(ISBLANK(H12),H12=""),ISBLANK('Personnel Yr 3'!I12)),"",'Personnel Yr 3'!I12),"")</f>
        <v/>
      </c>
      <c r="J12" s="22" t="str">
        <f>IF('Personnel Yr 1'!$J$5&gt;3,IF(AND(OR(ISBLANK(I12),I12=""),ISBLANK('Personnel Yr 3'!J12)),"",'Personnel Yr 3'!J12),"")</f>
        <v/>
      </c>
      <c r="K12" s="22" t="str">
        <f>IF('Personnel Yr 1'!$J$5&gt;3,IF(AND(OR(ISBLANK(J12),J12=""),ISBLANK('Personnel Yr 3'!K12)),"",'Personnel Yr 3'!K12),"")</f>
        <v/>
      </c>
      <c r="L12" s="44" t="str">
        <f>IF('Personnel Yr 1'!$J$5&gt;3,IF(NOT(OR(ISBLANK(H12),H12="")), IF(OR(AND(ISBLANK(I12),ISBLANK(J12),ISBLANK(K12)),AND(I12="",J12="",K12="")),0, IF((AND((I12&gt;0),((J12+K12)&gt;0))),"Error", IF((I12&gt;0),ROUND((IF(AND('Personnel Yr 1'!$O$5&gt;0,H12&gt;'Personnel Yr 1'!$O$5),'Personnel Yr 1'!$O$5,H12)*(I12/12)),2),ROUND((IF(AND('Personnel Yr 1'!$O$5&gt;0,H12&gt;'Personnel Yr 1'!$O$5),'Personnel Yr 1'!$O$5,H12)*((J12+K12)/8.5)),2)))),""),"")</f>
        <v/>
      </c>
      <c r="M12" s="44" t="str">
        <f>IF('Personnel Yr 1'!$J$5&gt;3,IF(OR(ISBLANK(L12),L12=""),"",ROUND(SUM(T12:V12),2)),"")</f>
        <v/>
      </c>
      <c r="N12" s="51" t="str">
        <f>IF('Personnel Yr 1'!$J$5&gt;3,IF(OR(ISBLANK(M12),M12=""),"",ROUND(SUM(L12:M12),2)),"")</f>
        <v/>
      </c>
      <c r="O12" s="159"/>
      <c r="P12" s="336">
        <f>IF('Personnel Yr 1'!$J$5&gt;3,IF(NOT(OR(ISBLANK(I12),I12="")),(H12/12)*I12,""),0)</f>
        <v>0</v>
      </c>
      <c r="Q12" s="336">
        <f>IF('Personnel Yr 1'!$J$5&gt;3,IF(NOT(OR(ISBLANK(J12),J12="")),(H12/8.5)*J12,""),0)</f>
        <v>0</v>
      </c>
      <c r="R12" s="336">
        <f>IF('Personnel Yr 1'!$J$5&gt;3,IF(NOT(OR(ISBLANK(K12),K12="")),(H12/8.5)*K12,""),0)</f>
        <v>0</v>
      </c>
      <c r="T12" s="347">
        <f t="shared" si="0"/>
        <v>0</v>
      </c>
      <c r="U12" s="347">
        <f t="shared" si="0"/>
        <v>0</v>
      </c>
      <c r="V12" s="347">
        <f t="shared" si="1"/>
        <v>0</v>
      </c>
      <c r="X12" s="336">
        <v>12</v>
      </c>
      <c r="Y12" s="336" t="b">
        <f>IF('Personnel Yr 1'!$J$5&gt;3,IF(OR($N$5&lt;&gt;"Federal - NIH",OR(AND(ISBLANK(I12),ISBLANK(J12),ISBLANK(K12)),AND(I12="",J12="",K12=""))),FALSE,IF(I12&gt;0,H12&gt;NIHSalaryCap,H12&gt;(NIHSalaryCap*8.5)/12)),FALSE)</f>
        <v>0</v>
      </c>
    </row>
    <row r="13" spans="1:25" x14ac:dyDescent="0.2">
      <c r="A13" s="5">
        <v>7</v>
      </c>
      <c r="B13" s="6" t="str">
        <f>IF('Personnel Yr 1'!$J$5&gt;3,IF(NOT(OR(ISBLANK('Personnel Yr 3'!B13),'Personnel Yr 3'!B13="")),'Personnel Yr 3'!B13,""),"")</f>
        <v/>
      </c>
      <c r="C13" s="22" t="str">
        <f>IF('Personnel Yr 1'!$J$5&gt;3,IF(ISBLANK('Personnel Yr 3'!C13),"",'Personnel Yr 3'!C13),"")</f>
        <v/>
      </c>
      <c r="D13" s="22" t="str">
        <f>IF('Personnel Yr 1'!$J$5&gt;3,IF(ISBLANK('Personnel Yr 3'!D13),"",'Personnel Yr 3'!D13),"")</f>
        <v/>
      </c>
      <c r="E13" s="22" t="str">
        <f>IF('Personnel Yr 1'!$J$5&gt;3,IF(ISBLANK('Personnel Yr 3'!E13),"",'Personnel Yr 3'!E13),"")</f>
        <v/>
      </c>
      <c r="F13" s="22" t="str">
        <f>IF('Personnel Yr 1'!$J$5&gt;3,IF(ISBLANK('Personnel Yr 3'!F13),"",'Personnel Yr 3'!F13),"")</f>
        <v/>
      </c>
      <c r="G13" s="22" t="str">
        <f>IF('Personnel Yr 1'!$J$5&gt;3,IF(ISBLANK('Personnel Yr 3'!G13),"",'Personnel Yr 3'!G13),"")</f>
        <v/>
      </c>
      <c r="H13" s="42" t="str">
        <f>IF('Personnel Yr 1'!$J$5&gt;3,IF(NOT(OR(ISBLANK('Personnel Yr 3'!H13),'Personnel Yr 3'!H13="")),(('Personnel Yr 3'!H13*'Personnel Yr 1'!$D$5)+'Personnel Yr 3'!H13),""),"")</f>
        <v/>
      </c>
      <c r="I13" s="22" t="str">
        <f>IF('Personnel Yr 1'!$J$5&gt;3,IF(AND(OR(ISBLANK(H13),H13=""),ISBLANK('Personnel Yr 3'!I13)),"",'Personnel Yr 3'!I13),"")</f>
        <v/>
      </c>
      <c r="J13" s="22" t="str">
        <f>IF('Personnel Yr 1'!$J$5&gt;3,IF(AND(OR(ISBLANK(I13),I13=""),ISBLANK('Personnel Yr 3'!J13)),"",'Personnel Yr 3'!J13),"")</f>
        <v/>
      </c>
      <c r="K13" s="22" t="str">
        <f>IF('Personnel Yr 1'!$J$5&gt;3,IF(AND(OR(ISBLANK(J13),J13=""),ISBLANK('Personnel Yr 3'!K13)),"",'Personnel Yr 3'!K13),"")</f>
        <v/>
      </c>
      <c r="L13" s="44" t="str">
        <f>IF('Personnel Yr 1'!$J$5&gt;3,IF(NOT(OR(ISBLANK(H13),H13="")), IF(OR(AND(ISBLANK(I13),ISBLANK(J13),ISBLANK(K13)),AND(I13="",J13="",K13="")),0, IF((AND((I13&gt;0),((J13+K13)&gt;0))),"Error", IF((I13&gt;0),ROUND((IF(AND('Personnel Yr 1'!$O$5&gt;0,H13&gt;'Personnel Yr 1'!$O$5),'Personnel Yr 1'!$O$5,H13)*(I13/12)),2),ROUND((IF(AND('Personnel Yr 1'!$O$5&gt;0,H13&gt;'Personnel Yr 1'!$O$5),'Personnel Yr 1'!$O$5,H13)*((J13+K13)/8.5)),2)))),""),"")</f>
        <v/>
      </c>
      <c r="M13" s="44" t="str">
        <f>IF('Personnel Yr 1'!$J$5&gt;3,IF(OR(ISBLANK(L13),L13=""),"",ROUND(SUM(T13:V13),2)),"")</f>
        <v/>
      </c>
      <c r="N13" s="51" t="str">
        <f>IF('Personnel Yr 1'!$J$5&gt;3,IF(OR(ISBLANK(M13),M13=""),"",ROUND(SUM(L13:M13),2)),"")</f>
        <v/>
      </c>
      <c r="O13" s="157"/>
      <c r="P13" s="336">
        <f>IF('Personnel Yr 1'!$J$5&gt;3,IF(NOT(OR(ISBLANK(I13),I13="")),(H13/12)*I13,""),0)</f>
        <v>0</v>
      </c>
      <c r="Q13" s="336">
        <f>IF('Personnel Yr 1'!$J$5&gt;3,IF(NOT(OR(ISBLANK(J13),J13="")),(H13/8.5)*J13,""),0)</f>
        <v>0</v>
      </c>
      <c r="R13" s="336">
        <f>IF('Personnel Yr 1'!$J$5&gt;3,IF(NOT(OR(ISBLANK(K13),K13="")),(H13/8.5)*K13,""),0)</f>
        <v>0</v>
      </c>
      <c r="T13" s="347">
        <f t="shared" si="0"/>
        <v>0</v>
      </c>
      <c r="U13" s="347">
        <f t="shared" si="0"/>
        <v>0</v>
      </c>
      <c r="V13" s="347">
        <f t="shared" si="1"/>
        <v>0</v>
      </c>
      <c r="X13" s="336">
        <v>13</v>
      </c>
      <c r="Y13" s="336" t="b">
        <f>IF('Personnel Yr 1'!$J$5&gt;3,IF(OR($N$5&lt;&gt;"Federal - NIH",OR(AND(ISBLANK(I13),ISBLANK(J13),ISBLANK(K13)),AND(I13="",J13="",K13=""))),FALSE,IF(I13&gt;0,H13&gt;NIHSalaryCap,H13&gt;(NIHSalaryCap*8.5)/12)),FALSE)</f>
        <v>0</v>
      </c>
    </row>
    <row r="14" spans="1:25" ht="13.5" thickBot="1" x14ac:dyDescent="0.25">
      <c r="A14" s="5">
        <v>8</v>
      </c>
      <c r="B14" s="7" t="str">
        <f>IF('Personnel Yr 1'!$J$5&gt;3,IF(NOT(OR(ISBLANK('Personnel Yr 3'!B14),'Personnel Yr 3'!B14="")),'Personnel Yr 3'!B14,""),"")</f>
        <v/>
      </c>
      <c r="C14" s="29" t="str">
        <f>IF('Personnel Yr 1'!$J$5&gt;3,IF(ISBLANK('Personnel Yr 3'!C14),"",'Personnel Yr 3'!C14),"")</f>
        <v/>
      </c>
      <c r="D14" s="29" t="str">
        <f>IF('Personnel Yr 1'!$J$5&gt;3,IF(ISBLANK('Personnel Yr 3'!D14),"",'Personnel Yr 3'!D14),"")</f>
        <v/>
      </c>
      <c r="E14" s="29" t="str">
        <f>IF('Personnel Yr 1'!$J$5&gt;3,IF(ISBLANK('Personnel Yr 3'!E14),"",'Personnel Yr 3'!E14),"")</f>
        <v/>
      </c>
      <c r="F14" s="29" t="str">
        <f>IF('Personnel Yr 1'!$J$5&gt;3,IF(ISBLANK('Personnel Yr 3'!F14),"",'Personnel Yr 3'!F14),"")</f>
        <v/>
      </c>
      <c r="G14" s="29" t="str">
        <f>IF('Personnel Yr 1'!$J$5&gt;3,IF(ISBLANK('Personnel Yr 3'!G14),"",'Personnel Yr 3'!G14),"")</f>
        <v/>
      </c>
      <c r="H14" s="43" t="str">
        <f>IF('Personnel Yr 1'!$J$5&gt;3,IF(NOT(OR(ISBLANK('Personnel Yr 3'!H14),'Personnel Yr 3'!H14="")),(('Personnel Yr 3'!H14*'Personnel Yr 1'!$D$5)+'Personnel Yr 3'!H14),""),"")</f>
        <v/>
      </c>
      <c r="I14" s="29" t="str">
        <f>IF('Personnel Yr 1'!$J$5&gt;3,IF(AND(OR(ISBLANK(H14),H14=""),ISBLANK('Personnel Yr 3'!I14)),"",'Personnel Yr 3'!I14),"")</f>
        <v/>
      </c>
      <c r="J14" s="29" t="str">
        <f>IF('Personnel Yr 1'!$J$5&gt;3,IF(AND(OR(ISBLANK(I14),I14=""),ISBLANK('Personnel Yr 3'!J14)),"",'Personnel Yr 3'!J14),"")</f>
        <v/>
      </c>
      <c r="K14" s="29" t="str">
        <f>IF('Personnel Yr 1'!$J$5&gt;3,IF(AND(OR(ISBLANK(J14),J14=""),ISBLANK('Personnel Yr 3'!K14)),"",'Personnel Yr 3'!K14),"")</f>
        <v/>
      </c>
      <c r="L14" s="52" t="str">
        <f>IF('Personnel Yr 1'!$J$5&gt;3,IF(NOT(OR(ISBLANK(H14),H14="")), IF(OR(AND(ISBLANK(I14),ISBLANK(J14),ISBLANK(K14)),AND(I14="",J14="",K14="")),0, IF((AND((I14&gt;0),((J14+K14)&gt;0))),"Error", IF((I14&gt;0),ROUND((IF(AND('Personnel Yr 1'!$O$5&gt;0,H14&gt;'Personnel Yr 1'!$O$5),'Personnel Yr 1'!$O$5,H14)*(I14/12)),2),ROUND((IF(AND('Personnel Yr 1'!$O$5&gt;0,H14&gt;'Personnel Yr 1'!$O$5),'Personnel Yr 1'!$O$5,H14)*((J14+K14)/8.5)),2)))),""),"")</f>
        <v/>
      </c>
      <c r="M14" s="49" t="str">
        <f>IF('Personnel Yr 1'!$J$5&gt;3,IF(OR(ISBLANK(L14),L14=""),"",ROUND(SUM(T14:V14),2)),"")</f>
        <v/>
      </c>
      <c r="N14" s="50" t="str">
        <f>IF('Personnel Yr 1'!$J$5&gt;3,IF(OR(ISBLANK(M14),M14=""),"",ROUND(SUM(L14:M14),2)),"")</f>
        <v/>
      </c>
      <c r="O14" s="161"/>
      <c r="P14" s="336">
        <f>IF('Personnel Yr 1'!$J$5&gt;3,IF(NOT(OR(ISBLANK(I14),I14="")),(H14/12)*I14,""),0)</f>
        <v>0</v>
      </c>
      <c r="Q14" s="336">
        <f>IF('Personnel Yr 1'!$J$5&gt;3,IF(NOT(OR(ISBLANK(J14),J14="")),(H14/8.5)*J14,""),0)</f>
        <v>0</v>
      </c>
      <c r="R14" s="336">
        <f>IF('Personnel Yr 1'!$J$5&gt;3,IF(NOT(OR(ISBLANK(K14),K14="")),(H14/8.5)*K14,""),0)</f>
        <v>0</v>
      </c>
      <c r="T14" s="347">
        <f t="shared" si="0"/>
        <v>0</v>
      </c>
      <c r="U14" s="347">
        <f t="shared" si="0"/>
        <v>0</v>
      </c>
      <c r="V14" s="347">
        <f t="shared" si="1"/>
        <v>0</v>
      </c>
      <c r="X14" s="336">
        <v>14</v>
      </c>
      <c r="Y14" s="336" t="b">
        <f>IF('Personnel Yr 1'!$J$5&gt;3,IF(OR($N$5&lt;&gt;"Federal - NIH",OR(AND(ISBLANK(I14),ISBLANK(J14),ISBLANK(K14)),AND(I14="",J14="",K14=""))),FALSE,IF(I14&gt;0,H14&gt;NIHSalaryCap,H14&gt;(NIHSalaryCap*8.5)/12)),FALSE)</f>
        <v>0</v>
      </c>
    </row>
    <row r="15" spans="1:25" ht="13.5" thickBot="1" x14ac:dyDescent="0.25">
      <c r="A15" s="5">
        <v>9</v>
      </c>
      <c r="B15" s="27">
        <f>B59</f>
        <v>0</v>
      </c>
      <c r="C15" s="563" t="s">
        <v>52</v>
      </c>
      <c r="D15" s="563"/>
      <c r="E15" s="563"/>
      <c r="F15" s="563"/>
      <c r="G15" s="573" t="s">
        <v>63</v>
      </c>
      <c r="H15" s="573"/>
      <c r="I15" s="573"/>
      <c r="J15" s="573"/>
      <c r="K15" s="573"/>
      <c r="L15" s="573"/>
      <c r="M15" s="574"/>
      <c r="N15" s="56">
        <f>N59</f>
        <v>0</v>
      </c>
      <c r="P15" s="336">
        <f>SUM(P7:P14)</f>
        <v>0</v>
      </c>
      <c r="Q15" s="336">
        <f t="shared" ref="Q15:V15" si="2">SUM(Q7:Q14)</f>
        <v>0</v>
      </c>
      <c r="R15" s="336">
        <f t="shared" si="2"/>
        <v>0</v>
      </c>
      <c r="T15" s="336">
        <f t="shared" si="2"/>
        <v>0</v>
      </c>
      <c r="U15" s="336">
        <f t="shared" si="2"/>
        <v>0</v>
      </c>
      <c r="V15" s="336">
        <f t="shared" si="2"/>
        <v>0</v>
      </c>
    </row>
    <row r="16" spans="1:25" ht="13.5" thickBot="1" x14ac:dyDescent="0.25">
      <c r="B16" s="27">
        <f>SUM(ROWS(E7:E14)-COUNTIF(E7:E14,""),B15)</f>
        <v>0</v>
      </c>
      <c r="C16" s="569" t="s">
        <v>51</v>
      </c>
      <c r="D16" s="570"/>
      <c r="E16" s="570"/>
      <c r="F16" s="570"/>
      <c r="G16" s="9"/>
      <c r="H16" s="10"/>
      <c r="I16" s="10"/>
      <c r="J16" s="571" t="s">
        <v>34</v>
      </c>
      <c r="K16" s="571"/>
      <c r="L16" s="571"/>
      <c r="M16" s="572"/>
      <c r="N16" s="48">
        <f>SUM(N7:N15)</f>
        <v>0</v>
      </c>
    </row>
    <row r="17" spans="2:25" x14ac:dyDescent="0.2">
      <c r="B17" s="9"/>
      <c r="C17" s="9"/>
      <c r="D17" s="9"/>
      <c r="E17" s="9"/>
      <c r="F17" s="9"/>
      <c r="G17" s="9"/>
      <c r="H17" s="10"/>
      <c r="I17" s="10"/>
      <c r="J17" s="11"/>
      <c r="K17" s="11"/>
      <c r="L17" s="11"/>
      <c r="M17" s="11"/>
      <c r="N17" s="10"/>
    </row>
    <row r="18" spans="2:25" x14ac:dyDescent="0.2">
      <c r="B18" s="9"/>
      <c r="C18" s="9"/>
      <c r="D18" s="9"/>
      <c r="E18" s="9"/>
      <c r="F18" s="9"/>
      <c r="G18" s="9"/>
      <c r="H18" s="9"/>
      <c r="I18" s="9"/>
      <c r="J18" s="11"/>
      <c r="K18" s="11"/>
      <c r="L18" s="11"/>
      <c r="M18" s="11"/>
      <c r="N18" s="9"/>
    </row>
    <row r="19" spans="2:25" x14ac:dyDescent="0.2">
      <c r="B19" s="575" t="s">
        <v>6</v>
      </c>
      <c r="C19" s="575"/>
      <c r="D19" s="576" t="s">
        <v>96</v>
      </c>
      <c r="E19" s="576"/>
      <c r="F19" s="576"/>
      <c r="G19" s="576"/>
      <c r="H19" s="576"/>
      <c r="I19" s="576"/>
      <c r="J19" s="576"/>
      <c r="K19" s="576"/>
    </row>
    <row r="20" spans="2:25" ht="26.25" thickBot="1" x14ac:dyDescent="0.25">
      <c r="B20" s="13" t="s">
        <v>7</v>
      </c>
      <c r="C20" s="14"/>
      <c r="D20" s="14"/>
      <c r="E20" s="14"/>
      <c r="F20" s="14"/>
      <c r="G20" s="14"/>
      <c r="H20" s="15" t="s">
        <v>65</v>
      </c>
      <c r="I20" s="15" t="s">
        <v>60</v>
      </c>
      <c r="J20" s="15" t="s">
        <v>61</v>
      </c>
      <c r="K20" s="15" t="s">
        <v>62</v>
      </c>
      <c r="L20" s="15" t="s">
        <v>44</v>
      </c>
      <c r="M20" s="40" t="s">
        <v>45</v>
      </c>
      <c r="N20" s="40" t="s">
        <v>41</v>
      </c>
      <c r="O20" s="3" t="s">
        <v>234</v>
      </c>
    </row>
    <row r="21" spans="2:25" x14ac:dyDescent="0.2">
      <c r="B21" s="16" t="str">
        <f>IF('Personnel Yr 1'!$J$5&gt;3,IF(OR(ISBLANK('Personnel Yr 3'!B21),'Personnel Yr 3'!B21=""),"",'Personnel Yr 3'!B21),"")</f>
        <v/>
      </c>
      <c r="C21" s="578" t="s">
        <v>8</v>
      </c>
      <c r="D21" s="578"/>
      <c r="E21" s="578"/>
      <c r="F21" s="578"/>
      <c r="G21" s="578"/>
      <c r="H21" s="579"/>
      <c r="I21" s="17" t="str">
        <f>IF('Personnel Yr 1'!$J$5&gt;3,IF(OR(ISBLANK('Personnel Yr 3'!I21),'Personnel Yr 3'!I21=""),"",'Personnel Yr 3'!I21),"")</f>
        <v/>
      </c>
      <c r="J21" s="17" t="str">
        <f>IF('Personnel Yr 1'!$J$5&gt;3,IF(OR(ISBLANK('Personnel Yr 3'!J21),'Personnel Yr 3'!J21=""),"",'Personnel Yr 3'!J21),"")</f>
        <v/>
      </c>
      <c r="K21" s="17" t="str">
        <f>IF('Personnel Yr 1'!$J$5&gt;3,IF(OR(ISBLANK('Personnel Yr 3'!K21),'Personnel Yr 3'!K21=""),"",'Personnel Yr 3'!K21),"")</f>
        <v/>
      </c>
      <c r="L21" s="41" t="str">
        <f>IF('Personnel Yr 1'!$J$5&gt;3,IF(NOT(OR(ISBLANK('Personnel Yr 3'!L21),'Personnel Yr 3'!L21="")),(('Personnel Yr 3'!L21*'Personnel Yr 1'!$D$5)+'Personnel Yr 3'!L21),""),"")</f>
        <v/>
      </c>
      <c r="M21" s="49" t="str">
        <f>IF('Personnel Yr 1'!$J$5&gt;3,IF(OR(ISBLANK(L21),L21=""),"",ROUND(L21*LOOKUP("Full",Ben,Per),2)),"")</f>
        <v/>
      </c>
      <c r="N21" s="272" t="str">
        <f>IF('Personnel Yr 1'!$J$5&gt;3,IF(OR(ISBLANK(L21),L21=""),"",ROUND(SUM(L21:M21),2)),"")</f>
        <v/>
      </c>
      <c r="O21" s="162"/>
    </row>
    <row r="22" spans="2:25" x14ac:dyDescent="0.2">
      <c r="B22" s="18" t="str">
        <f>IF('Personnel Yr 1'!$J$5&gt;3,IF(OR(ISBLANK('Personnel Yr 3'!B22),'Personnel Yr 3'!B22=""),"",'Personnel Yr 3'!B22),"")</f>
        <v/>
      </c>
      <c r="C22" s="580" t="s">
        <v>73</v>
      </c>
      <c r="D22" s="581"/>
      <c r="E22" s="581"/>
      <c r="F22" s="581"/>
      <c r="G22" s="581"/>
      <c r="H22" s="583"/>
      <c r="I22" s="19" t="str">
        <f>IF('Personnel Yr 1'!$J$5&gt;3,IF(OR(ISBLANK('Personnel Yr 3'!I22),'Personnel Yr 3'!I22=""),"",'Personnel Yr 3'!I22),"")</f>
        <v/>
      </c>
      <c r="J22" s="19" t="str">
        <f>IF('Personnel Yr 1'!$J$5&gt;3,IF(OR(ISBLANK('Personnel Yr 3'!J22),'Personnel Yr 3'!J22=""),"",'Personnel Yr 3'!J22),"")</f>
        <v/>
      </c>
      <c r="K22" s="19" t="str">
        <f>IF('Personnel Yr 1'!$J$5&gt;3,IF(OR(ISBLANK('Personnel Yr 3'!K22),'Personnel Yr 3'!K22=""),"",'Personnel Yr 3'!K22),"")</f>
        <v/>
      </c>
      <c r="L22" s="53" t="str">
        <f>IF('Personnel Yr 1'!$J$5&gt;3,IF(NOT(OR(ISBLANK('Personnel Yr 3'!L22),'Personnel Yr 3'!L22="")),(('Personnel Yr 3'!L22*'Personnel Yr 1'!$D$5)+'Personnel Yr 3'!L22),""),"")</f>
        <v/>
      </c>
      <c r="M22" s="49" t="str">
        <f>IF('Personnel Yr 1'!$J$5&gt;3,IF(OR(ISBLANK(L22),L22=""),"",ROUND(L22*LOOKUP("Full",Ben,Per),2)),"")</f>
        <v/>
      </c>
      <c r="N22" s="272" t="str">
        <f>IF('Personnel Yr 1'!$J$5&gt;3,IF(OR(ISBLANK(L22),L22=""),"",ROUND(SUM(L22:M22),2)),"")</f>
        <v/>
      </c>
      <c r="O22" s="165"/>
    </row>
    <row r="23" spans="2:25" x14ac:dyDescent="0.2">
      <c r="B23" s="20" t="str">
        <f>IF('Personnel Yr 1'!$J$5&gt;3,IF(OR(ISBLANK('Personnel Yr 3'!B23),'Personnel Yr 3'!B23=""),"",'Personnel Yr 3'!B23),"")</f>
        <v/>
      </c>
      <c r="C23" s="580" t="s">
        <v>9</v>
      </c>
      <c r="D23" s="581"/>
      <c r="E23" s="581"/>
      <c r="F23" s="581"/>
      <c r="G23" s="429"/>
      <c r="H23" s="68" t="str">
        <f>IF('Personnel Yr 1'!$J$5&gt;3,IF(OR(ISBLANK('Personnel Yr 3'!H23),'Personnel Yr 3'!H23=""),"",'Personnel Yr 3'!H23),"")</f>
        <v/>
      </c>
      <c r="I23" s="21" t="str">
        <f>IF('Personnel Yr 1'!$J$5&gt;3,IF(OR(ISBLANK('Personnel Yr 3'!I23),'Personnel Yr 3'!I23=""),"",'Personnel Yr 3'!I23),"")</f>
        <v/>
      </c>
      <c r="J23" s="21" t="str">
        <f>IF('Personnel Yr 1'!$J$5&gt;3,IF(OR(ISBLANK('Personnel Yr 3'!J23),'Personnel Yr 3'!J23=""),"",'Personnel Yr 3'!J23),"")</f>
        <v/>
      </c>
      <c r="K23" s="21" t="str">
        <f>IF('Personnel Yr 1'!$J$5&gt;3,IF(OR(ISBLANK('Personnel Yr 3'!K23),'Personnel Yr 3'!K23=""),"",'Personnel Yr 3'!K23),"")</f>
        <v/>
      </c>
      <c r="L23" s="42" t="str">
        <f>IF('Personnel Yr 1'!$J$5&gt;3,IF(NOT(OR(ISBLANK('Personnel Yr 3'!L23),'Personnel Yr 3'!L23="")),(('Personnel Yr 3'!L23*'Personnel Yr 1'!$D$5)+'Personnel Yr 3'!L23),""),"")</f>
        <v/>
      </c>
      <c r="M23" s="47" t="str">
        <f>IF('Personnel Yr 1'!$J$5&gt;3,IF(OR(ISBLANK(L23),L23=""),"",ROUND(L23*LOOKUP(H23,Grad,GradR),2)),"")</f>
        <v/>
      </c>
      <c r="N23" s="272" t="str">
        <f>IF('Personnel Yr 1'!$J$5&gt;3,IF(OR(ISBLANK(L23),L23=""),"",ROUND(SUM(L23:M23),2)),"")</f>
        <v/>
      </c>
      <c r="O23" s="165"/>
    </row>
    <row r="24" spans="2:25" x14ac:dyDescent="0.2">
      <c r="B24" s="20" t="str">
        <f>IF('Personnel Yr 1'!$J$5&gt;3,IF(OR(ISBLANK('Personnel Yr 3'!B24),'Personnel Yr 3'!B24=""),"",'Personnel Yr 3'!B24),"")</f>
        <v/>
      </c>
      <c r="C24" s="581" t="s">
        <v>10</v>
      </c>
      <c r="D24" s="581"/>
      <c r="E24" s="581"/>
      <c r="F24" s="581"/>
      <c r="G24" s="581"/>
      <c r="H24" s="582"/>
      <c r="I24" s="22" t="str">
        <f>IF('Personnel Yr 1'!$J$5&gt;3,IF(OR(ISBLANK('Personnel Yr 3'!I24),'Personnel Yr 3'!I24=""),"",'Personnel Yr 3'!I24),"")</f>
        <v/>
      </c>
      <c r="J24" s="22" t="str">
        <f>IF('Personnel Yr 1'!$J$5&gt;3,IF(OR(ISBLANK('Personnel Yr 3'!J24),'Personnel Yr 3'!J24=""),"",'Personnel Yr 3'!J24),"")</f>
        <v/>
      </c>
      <c r="K24" s="22" t="str">
        <f>IF('Personnel Yr 1'!$J$5&gt;3,IF(OR(ISBLANK('Personnel Yr 3'!K24),'Personnel Yr 3'!K24=""),"",'Personnel Yr 3'!K24),"")</f>
        <v/>
      </c>
      <c r="L24" s="54" t="str">
        <f>IF('Personnel Yr 1'!$J$5&gt;3,IF(NOT(OR(ISBLANK('Personnel Yr 3'!L24),'Personnel Yr 3'!L24="")),(('Personnel Yr 3'!L24*'Personnel Yr 1'!$D$5)+'Personnel Yr 3'!L24),""),"")</f>
        <v/>
      </c>
      <c r="M24" s="47" t="str">
        <f>IF('Personnel Yr 1'!$J$5&gt;3,IF(OR(ISBLANK(L24),L24=""),"",ROUND(L24*LOOKUP("Temp",Ben,Per),2)),"")</f>
        <v/>
      </c>
      <c r="N24" s="272" t="str">
        <f>IF('Personnel Yr 1'!$J$5&gt;3,IF(OR(ISBLANK(L24),L24=""),"",ROUND(SUM(L24:M24),2)),"")</f>
        <v/>
      </c>
      <c r="O24" s="165"/>
    </row>
    <row r="25" spans="2:25" x14ac:dyDescent="0.2">
      <c r="B25" s="20" t="str">
        <f>IF('Personnel Yr 1'!$J$5&gt;3,IF(OR(ISBLANK('Personnel Yr 3'!B25),'Personnel Yr 3'!B25=""),"",'Personnel Yr 3'!B25),"")</f>
        <v/>
      </c>
      <c r="C25" s="617" t="s">
        <v>504</v>
      </c>
      <c r="D25" s="581"/>
      <c r="E25" s="581"/>
      <c r="F25" s="581"/>
      <c r="G25" s="581"/>
      <c r="H25" s="582"/>
      <c r="I25" s="22" t="str">
        <f>IF('Personnel Yr 1'!$J$5&gt;3,IF(OR(ISBLANK('Personnel Yr 3'!I25),'Personnel Yr 3'!I25=""),"",'Personnel Yr 3'!I25),"")</f>
        <v/>
      </c>
      <c r="J25" s="22" t="str">
        <f>IF('Personnel Yr 1'!$J$5&gt;3,IF(OR(ISBLANK('Personnel Yr 3'!J25),'Personnel Yr 3'!J25=""),"",'Personnel Yr 3'!J25),"")</f>
        <v/>
      </c>
      <c r="K25" s="22" t="str">
        <f>IF('Personnel Yr 1'!$J$5&gt;3,IF(OR(ISBLANK('Personnel Yr 3'!K25),'Personnel Yr 3'!K25=""),"",'Personnel Yr 3'!K25),"")</f>
        <v/>
      </c>
      <c r="L25" s="54" t="str">
        <f>IF('Personnel Yr 1'!$J$5&gt;3,IF(NOT(OR(ISBLANK('Personnel Yr 3'!L25),'Personnel Yr 3'!L25="")),(('Personnel Yr 3'!L25*'Personnel Yr 1'!$D$5)+'Personnel Yr 3'!L25),""),"")</f>
        <v/>
      </c>
      <c r="M25" s="47" t="str">
        <f>IF('Personnel Yr 1'!$J$5&gt;3,IF(OR(ISBLANK(L25),L25=""),"",ROUND(L25*LOOKUP("Full",Ben,Per),2)),"")</f>
        <v/>
      </c>
      <c r="N25" s="272" t="str">
        <f>IF('Personnel Yr 1'!$J$5&gt;3,IF(OR(ISBLANK(L25),L25=""),"",ROUND(SUM(L25:M25),2)),"")</f>
        <v/>
      </c>
      <c r="O25" s="165"/>
    </row>
    <row r="26" spans="2:25" x14ac:dyDescent="0.2">
      <c r="B26" s="20" t="str">
        <f>IF('Personnel Yr 1'!$J$5&gt;3,IF(OR(ISBLANK('Personnel Yr 3'!B26),'Personnel Yr 3'!B26=""),"",'Personnel Yr 3'!B26),"")</f>
        <v/>
      </c>
      <c r="C26" s="581" t="s">
        <v>72</v>
      </c>
      <c r="D26" s="581"/>
      <c r="E26" s="581"/>
      <c r="F26" s="581"/>
      <c r="G26" s="581"/>
      <c r="H26" s="582"/>
      <c r="I26" s="22" t="str">
        <f>IF('Personnel Yr 1'!$J$5&gt;3,IF(OR(ISBLANK('Personnel Yr 3'!I26),'Personnel Yr 3'!I26=""),"",'Personnel Yr 3'!I26),"")</f>
        <v/>
      </c>
      <c r="J26" s="22" t="str">
        <f>IF('Personnel Yr 1'!$J$5&gt;3,IF(OR(ISBLANK('Personnel Yr 3'!J26),'Personnel Yr 3'!J26=""),"",'Personnel Yr 3'!J26),"")</f>
        <v/>
      </c>
      <c r="K26" s="22" t="str">
        <f>IF('Personnel Yr 1'!$J$5&gt;3,IF(OR(ISBLANK('Personnel Yr 3'!K26),'Personnel Yr 3'!K26=""),"",'Personnel Yr 3'!K26),"")</f>
        <v/>
      </c>
      <c r="L26" s="54" t="str">
        <f>IF('Personnel Yr 1'!$J$5&gt;3,IF(NOT(OR(ISBLANK('Personnel Yr 3'!L26),'Personnel Yr 3'!L26="")),(('Personnel Yr 3'!L26*'Personnel Yr 1'!$D$5)+'Personnel Yr 3'!L26),""),"")</f>
        <v/>
      </c>
      <c r="M26" s="44" t="str">
        <f>IF('Personnel Yr 1'!$J$5&gt;3,IF(OR(ISBLANK(L26),L26=""),"",ROUND(L26*LOOKUP("Temp",Ben,Per),2)),"")</f>
        <v/>
      </c>
      <c r="N26" s="273" t="str">
        <f>IF('Personnel Yr 1'!$J$5&gt;3,IF(OR(ISBLANK(L26),L26=""),"",ROUND(SUM(L26:M26),2)),"")</f>
        <v/>
      </c>
      <c r="O26" s="20"/>
    </row>
    <row r="27" spans="2:25" s="257" customFormat="1" x14ac:dyDescent="0.2">
      <c r="B27" s="20"/>
      <c r="C27" s="589" t="s">
        <v>421</v>
      </c>
      <c r="D27" s="588"/>
      <c r="E27" s="588"/>
      <c r="F27" s="588"/>
      <c r="G27" s="588"/>
      <c r="H27" s="588"/>
      <c r="I27" s="22"/>
      <c r="J27" s="22"/>
      <c r="K27" s="22"/>
      <c r="L27" s="54" t="str">
        <f>IF('Personnel Yr 1'!$J$5&gt;3,IF(NOT(OR(ISBLANK('Personnel Yr 3'!L27),'Personnel Yr 3'!L27="")),(('Personnel Yr 3'!L27*'Personnel Yr 1'!$D$5)+'Personnel Yr 3'!L27),""),"")</f>
        <v/>
      </c>
      <c r="M27" s="44" t="str">
        <f>IF('Personnel Yr 1'!$J$5&gt;3,IF(OR(ISBLANK(L27),L27=""),"",ROUND(L27*LOOKUP("Temp",Ben,Per),2)),"")</f>
        <v/>
      </c>
      <c r="N27" s="273" t="str">
        <f>IF('Personnel Yr 1'!$J$5&gt;3,IF(OR(ISBLANK(L27),L27=""),"",ROUND(SUM(L27:M27),2)),"")</f>
        <v/>
      </c>
      <c r="O27" s="20"/>
      <c r="P27" s="336"/>
      <c r="Q27" s="336"/>
      <c r="R27" s="336"/>
      <c r="S27" s="336"/>
      <c r="T27" s="336"/>
      <c r="U27" s="336"/>
      <c r="V27" s="336"/>
      <c r="W27" s="336"/>
      <c r="X27" s="336"/>
      <c r="Y27" s="336"/>
    </row>
    <row r="28" spans="2:25" s="257" customFormat="1" ht="13.5" thickBot="1" x14ac:dyDescent="0.25">
      <c r="B28" s="164"/>
      <c r="C28" s="590" t="s">
        <v>422</v>
      </c>
      <c r="D28" s="591"/>
      <c r="E28" s="591"/>
      <c r="F28" s="591"/>
      <c r="G28" s="591"/>
      <c r="H28" s="591"/>
      <c r="I28" s="29"/>
      <c r="J28" s="29"/>
      <c r="K28" s="29"/>
      <c r="L28" s="54" t="str">
        <f>IF('Personnel Yr 1'!$J$5&gt;3,IF(NOT(OR(ISBLANK('Personnel Yr 3'!L28),'Personnel Yr 3'!L28="")),(('Personnel Yr 3'!L28*'Personnel Yr 1'!$D$5)+'Personnel Yr 3'!L28),""),"")</f>
        <v/>
      </c>
      <c r="M28" s="52" t="str">
        <f>IF('Personnel Yr 1'!$J$5&gt;3,IF(OR(ISBLANK(L28),L28=""),"",ROUND(L28*LOOKUP("Adjunct",Ben,Per),2)),"")</f>
        <v/>
      </c>
      <c r="N28" s="274" t="str">
        <f>IF('Personnel Yr 1'!$J$5&gt;3,IF(OR(ISBLANK(L28),L28=""),"",ROUND(SUM(L28:M28),2)),"")</f>
        <v/>
      </c>
      <c r="O28" s="164"/>
      <c r="P28" s="336"/>
      <c r="Q28" s="336"/>
      <c r="R28" s="336"/>
      <c r="S28" s="336"/>
      <c r="T28" s="336"/>
      <c r="U28" s="336"/>
      <c r="V28" s="336"/>
      <c r="W28" s="336"/>
      <c r="X28" s="336"/>
      <c r="Y28" s="336"/>
    </row>
    <row r="29" spans="2:25" ht="13.5" thickBot="1" x14ac:dyDescent="0.25">
      <c r="B29" s="27">
        <f>SUM(B21:B26)</f>
        <v>0</v>
      </c>
      <c r="C29" s="618" t="s">
        <v>11</v>
      </c>
      <c r="D29" s="563"/>
      <c r="E29" s="563"/>
      <c r="F29" s="563"/>
      <c r="G29" s="23"/>
      <c r="H29" s="23"/>
      <c r="I29" s="573" t="s">
        <v>12</v>
      </c>
      <c r="J29" s="619"/>
      <c r="K29" s="619"/>
      <c r="L29" s="619"/>
      <c r="M29" s="620"/>
      <c r="N29" s="56">
        <f>ROUND(SUM(N21:N28),2)</f>
        <v>0</v>
      </c>
    </row>
    <row r="30" spans="2:25" ht="13.5" thickBot="1" x14ac:dyDescent="0.25">
      <c r="B30" s="9"/>
      <c r="C30" s="24"/>
      <c r="D30" s="24"/>
      <c r="E30" s="24"/>
      <c r="F30" s="24"/>
      <c r="G30" s="24"/>
      <c r="H30" s="25"/>
      <c r="I30" s="571" t="s">
        <v>13</v>
      </c>
      <c r="J30" s="571"/>
      <c r="K30" s="571"/>
      <c r="L30" s="571"/>
      <c r="M30" s="572"/>
      <c r="N30" s="48">
        <f>ROUND(SUM(N16,N29),2)</f>
        <v>0</v>
      </c>
    </row>
    <row r="32" spans="2:25" ht="13.5" thickBot="1" x14ac:dyDescent="0.25"/>
    <row r="33" spans="1:25" ht="12.75" customHeight="1" x14ac:dyDescent="0.2">
      <c r="G33" s="336" t="s">
        <v>461</v>
      </c>
      <c r="H33" s="555" t="s">
        <v>235</v>
      </c>
      <c r="I33" s="556"/>
      <c r="J33" s="556"/>
      <c r="K33" s="556"/>
      <c r="L33" s="557"/>
    </row>
    <row r="34" spans="1:25" ht="12.75" customHeight="1" thickBot="1" x14ac:dyDescent="0.25">
      <c r="G34" s="336" t="b">
        <f>IFERROR(OR(AND('Personnel Yr 1'!N5="Federal - NIH",SUM('Non-personnel'!$J$41,$N$23)/$B$23&lt;=NIHGradLimit),'Personnel Yr 1'!N5&lt;&gt;"Federal - NIH"),TRUE)</f>
        <v>1</v>
      </c>
      <c r="H34" s="558"/>
      <c r="I34" s="559"/>
      <c r="J34" s="559"/>
      <c r="K34" s="559"/>
      <c r="L34" s="560"/>
    </row>
    <row r="35" spans="1:25" ht="12.75" customHeight="1" x14ac:dyDescent="0.2">
      <c r="G35" s="336" t="e">
        <f>SUM('Non-personnel'!$N$41,$N$23)/$B$23</f>
        <v>#VALUE!</v>
      </c>
      <c r="H35" s="546" t="s">
        <v>240</v>
      </c>
      <c r="I35" s="609"/>
      <c r="J35" s="609"/>
      <c r="K35" s="609"/>
      <c r="L35" s="610"/>
    </row>
    <row r="36" spans="1:25" ht="12.75" customHeight="1" x14ac:dyDescent="0.2">
      <c r="H36" s="611"/>
      <c r="I36" s="612"/>
      <c r="J36" s="612"/>
      <c r="K36" s="612"/>
      <c r="L36" s="613"/>
    </row>
    <row r="37" spans="1:25" ht="12.75" customHeight="1" x14ac:dyDescent="0.2">
      <c r="H37" s="611"/>
      <c r="I37" s="612"/>
      <c r="J37" s="612"/>
      <c r="K37" s="612"/>
      <c r="L37" s="613"/>
    </row>
    <row r="38" spans="1:25" ht="12.75" customHeight="1" x14ac:dyDescent="0.2">
      <c r="H38" s="611"/>
      <c r="I38" s="612"/>
      <c r="J38" s="612"/>
      <c r="K38" s="612"/>
      <c r="L38" s="613"/>
    </row>
    <row r="39" spans="1:25" ht="12.75" customHeight="1" thickBot="1" x14ac:dyDescent="0.25">
      <c r="H39" s="614"/>
      <c r="I39" s="615"/>
      <c r="J39" s="615"/>
      <c r="K39" s="615"/>
      <c r="L39" s="616"/>
    </row>
    <row r="40" spans="1:25" ht="12.75" customHeight="1" thickBot="1" x14ac:dyDescent="0.25">
      <c r="H40" s="174" t="s">
        <v>236</v>
      </c>
      <c r="I40" s="167"/>
      <c r="J40" s="173" t="s">
        <v>237</v>
      </c>
      <c r="K40" s="173" t="s">
        <v>238</v>
      </c>
      <c r="L40" s="172" t="s">
        <v>239</v>
      </c>
    </row>
    <row r="41" spans="1:25" ht="12.75" customHeight="1" thickBot="1" x14ac:dyDescent="0.25">
      <c r="H41" s="168">
        <v>0</v>
      </c>
      <c r="I41" s="169"/>
      <c r="J41" s="170">
        <f>H41*12</f>
        <v>0</v>
      </c>
      <c r="K41" s="170">
        <f>H41*8.5</f>
        <v>0</v>
      </c>
      <c r="L41" s="171">
        <f>H41*3.5</f>
        <v>0</v>
      </c>
    </row>
    <row r="42" spans="1:25" x14ac:dyDescent="0.2">
      <c r="B42" s="545" t="s">
        <v>242</v>
      </c>
      <c r="C42" s="545"/>
      <c r="D42" s="545"/>
    </row>
    <row r="43" spans="1:25" ht="26.25" thickBot="1" x14ac:dyDescent="0.25">
      <c r="A43" s="2"/>
      <c r="B43" s="3" t="s">
        <v>0</v>
      </c>
      <c r="C43" s="3" t="s">
        <v>1</v>
      </c>
      <c r="D43" s="3" t="s">
        <v>2</v>
      </c>
      <c r="E43" s="3" t="s">
        <v>3</v>
      </c>
      <c r="F43" s="3" t="s">
        <v>4</v>
      </c>
      <c r="G43" s="3" t="s">
        <v>42</v>
      </c>
      <c r="H43" s="3" t="s">
        <v>43</v>
      </c>
      <c r="I43" s="445" t="s">
        <v>60</v>
      </c>
      <c r="J43" s="445" t="s">
        <v>61</v>
      </c>
      <c r="K43" s="3" t="s">
        <v>62</v>
      </c>
      <c r="L43" s="4" t="s">
        <v>44</v>
      </c>
      <c r="M43" s="3" t="s">
        <v>45</v>
      </c>
      <c r="N43" s="3" t="s">
        <v>41</v>
      </c>
      <c r="O43" s="3" t="s">
        <v>234</v>
      </c>
      <c r="P43" s="335" t="s">
        <v>66</v>
      </c>
      <c r="Q43" s="335" t="s">
        <v>67</v>
      </c>
      <c r="R43" s="335" t="s">
        <v>68</v>
      </c>
      <c r="T43" s="335" t="s">
        <v>66</v>
      </c>
      <c r="U43" s="335" t="s">
        <v>67</v>
      </c>
      <c r="V43" s="335" t="s">
        <v>68</v>
      </c>
      <c r="Y43" s="336" t="s">
        <v>464</v>
      </c>
    </row>
    <row r="44" spans="1:25" x14ac:dyDescent="0.2">
      <c r="A44" s="5">
        <v>1</v>
      </c>
      <c r="B44" s="28" t="str">
        <f>IF('Personnel Yr 1'!$J$5&gt;3,IF(NOT(OR(ISBLANK('Personnel Yr 3'!B44),'Personnel Yr 3'!B44="")),'Personnel Yr 3'!B44,""),"")</f>
        <v/>
      </c>
      <c r="C44" s="17" t="str">
        <f>IF('Personnel Yr 1'!$J$5&gt;3,IF(ISBLANK('Personnel Yr 3'!C44),"",'Personnel Yr 3'!C44),"")</f>
        <v/>
      </c>
      <c r="D44" s="17" t="str">
        <f>IF('Personnel Yr 1'!$J$5&gt;3,IF(ISBLANK('Personnel Yr 3'!D44),"",'Personnel Yr 3'!D44),"")</f>
        <v/>
      </c>
      <c r="E44" s="183" t="str">
        <f>IF('Personnel Yr 1'!$J$5&gt;3,IF(ISBLANK('Personnel Yr 3'!E44),"",'Personnel Yr 3'!E44),"")</f>
        <v/>
      </c>
      <c r="F44" s="17" t="str">
        <f>IF('Personnel Yr 1'!$J$5&gt;3,IF(ISBLANK('Personnel Yr 3'!F44),"",'Personnel Yr 3'!F44),"")</f>
        <v/>
      </c>
      <c r="G44" s="176" t="str">
        <f>IF('Personnel Yr 1'!$J$5&gt;3,IF(ISBLANK('Personnel Yr 3'!G44),"",'Personnel Yr 3'!G44),"")</f>
        <v/>
      </c>
      <c r="H44" s="177" t="str">
        <f>IF('Personnel Yr 1'!$J$5&gt;3,IF(NOT(OR(ISBLANK('Personnel Yr 3'!H44),'Personnel Yr 3'!H44="")),(('Personnel Yr 3'!H44*'Personnel Yr 1'!$D$5)+'Personnel Yr 3'!H44),""),"")</f>
        <v/>
      </c>
      <c r="I44" s="17" t="str">
        <f>IF('Personnel Yr 1'!$J$5&gt;3,IF(AND(OR(ISBLANK(H44),H44=""),ISBLANK('Personnel Yr 3'!I44)),"",'Personnel Yr 3'!I44),"")</f>
        <v/>
      </c>
      <c r="J44" s="17" t="str">
        <f>IF('Personnel Yr 1'!$J$5&gt;3,IF(AND(OR(ISBLANK(I44),I44=""),ISBLANK('Personnel Yr 3'!J44)),"",'Personnel Yr 3'!J44),"")</f>
        <v/>
      </c>
      <c r="K44" s="17" t="str">
        <f>IF('Personnel Yr 1'!$J$5&gt;3,IF(AND(OR(ISBLANK(J44),J44=""),ISBLANK('Personnel Yr 3'!K44)),"",'Personnel Yr 3'!K44),"")</f>
        <v/>
      </c>
      <c r="L44" s="45" t="str">
        <f>IF('Personnel Yr 1'!$J$5&gt;3,IF(NOT(OR(ISBLANK(H44),H44="")), IF(OR(AND(ISBLANK(I44),ISBLANK(J44),ISBLANK(K44)),AND(I44="",J44="",K44="")),0, IF((AND((I44&gt;0),((J44+K44)&gt;0))),"Error", IF((I44&gt;0),ROUND((IF(AND('Personnel Yr 1'!$O$5&gt;0,H44&gt;'Personnel Yr 1'!$O$5),'Personnel Yr 1'!$O$5,H44)*(I44/12)),2),ROUND((IF(AND('Personnel Yr 1'!$O$5&gt;0,H44&gt;'Personnel Yr 1'!$O$5),'Personnel Yr 1'!$O$5,H44)*((J44+K44)/8.5)),2)))),""),"")</f>
        <v/>
      </c>
      <c r="M44" s="45" t="str">
        <f>IF('Personnel Yr 1'!$J$5&gt;3,IF(OR(ISBLANK(L44),L44=""),"",ROUND(SUM(T44:V44),2)),"")</f>
        <v/>
      </c>
      <c r="N44" s="46" t="str">
        <f>IF('Personnel Yr 1'!$J$5&gt;3,IF(OR(ISBLANK(M44),M44=""),"",ROUND(SUM(L44:M44),2)),"")</f>
        <v/>
      </c>
      <c r="O44" s="158"/>
      <c r="P44" s="336">
        <f>IF('Personnel Yr 1'!$J$5&gt;3,IF(NOT(OR(ISBLANK(I44),I44="")),(H44/12)*I44,""),0)</f>
        <v>0</v>
      </c>
      <c r="Q44" s="337">
        <f>IF('Personnel Yr 1'!$J$5&gt;3,IF(NOT(OR(ISBLANK(J44),J44="")),(H44/8.5)*J44,""),0)</f>
        <v>0</v>
      </c>
      <c r="R44" s="336">
        <f>IF('Personnel Yr 1'!$J$5&gt;3,IF(NOT(OR(ISBLANK(K44),K44="")),(H44/8.5)*K44,""),0)</f>
        <v>0</v>
      </c>
      <c r="T44" s="336">
        <f t="shared" ref="T44:T58" si="3">IF(OR(ISBLANK(P44),P44=""),0,P44*LOOKUP("Full",Ben,Per))</f>
        <v>0</v>
      </c>
      <c r="U44" s="336">
        <f t="shared" ref="U44:U58" si="4">IF(OR(ISBLANK(Q44),Q44=""),0,Q44*LOOKUP("Full",Ben,Per))</f>
        <v>0</v>
      </c>
      <c r="V44" s="336">
        <f t="shared" ref="V44:V58" si="5">IF(OR(ISBLANK(R44),R44=""),0,R44*LOOKUP("Summer",Ben,Per))</f>
        <v>0</v>
      </c>
      <c r="X44" s="336">
        <v>44</v>
      </c>
      <c r="Y44" s="336" t="b">
        <f>IF('Personnel Yr 1'!$J$5&gt;3,IF(OR($N$5&lt;&gt;"Federal - NIH",OR(AND(ISBLANK(I44),ISBLANK(J44),ISBLANK(K44)),AND(I44="",J44="",K44=""))),FALSE,IF(I44&gt;0,H44&gt;NIHSalaryCap,H44&gt;(NIHSalaryCap*8.5)/12)),FALSE)</f>
        <v>0</v>
      </c>
    </row>
    <row r="45" spans="1:25" x14ac:dyDescent="0.2">
      <c r="A45" s="5">
        <v>2</v>
      </c>
      <c r="B45" s="6" t="str">
        <f>IF('Personnel Yr 1'!$J$5&gt;3,IF(NOT(OR(ISBLANK('Personnel Yr 3'!B45),'Personnel Yr 3'!B45="")),'Personnel Yr 3'!B45,""),"")</f>
        <v/>
      </c>
      <c r="C45" s="22" t="str">
        <f>IF('Personnel Yr 1'!$J$5&gt;3,IF(ISBLANK('Personnel Yr 3'!C45),"",'Personnel Yr 3'!C45),"")</f>
        <v/>
      </c>
      <c r="D45" s="22" t="str">
        <f>IF('Personnel Yr 1'!$J$5&gt;3,IF(ISBLANK('Personnel Yr 3'!D45),"",'Personnel Yr 3'!D45),"")</f>
        <v/>
      </c>
      <c r="E45" s="22" t="str">
        <f>IF('Personnel Yr 1'!$J$5&gt;3,IF(ISBLANK('Personnel Yr 3'!E45),"",'Personnel Yr 3'!E45),"")</f>
        <v/>
      </c>
      <c r="F45" s="22" t="str">
        <f>IF('Personnel Yr 1'!$J$5&gt;3,IF(ISBLANK('Personnel Yr 3'!F45),"",'Personnel Yr 3'!F45),"")</f>
        <v/>
      </c>
      <c r="G45" s="22" t="str">
        <f>IF('Personnel Yr 1'!$J$5&gt;3,IF(ISBLANK('Personnel Yr 3'!G45),"",'Personnel Yr 3'!G45),"")</f>
        <v/>
      </c>
      <c r="H45" s="42" t="str">
        <f>IF('Personnel Yr 1'!$J$5&gt;3,IF(NOT(OR(ISBLANK('Personnel Yr 3'!H45),'Personnel Yr 3'!H45="")),(('Personnel Yr 3'!H45*'Personnel Yr 1'!$D$5)+'Personnel Yr 3'!H45),""),"")</f>
        <v/>
      </c>
      <c r="I45" s="22" t="str">
        <f>IF('Personnel Yr 1'!$J$5&gt;3,IF(AND(OR(ISBLANK(H45),H45=""),ISBLANK('Personnel Yr 3'!I45)),"",'Personnel Yr 3'!I45),"")</f>
        <v/>
      </c>
      <c r="J45" s="22" t="str">
        <f>IF('Personnel Yr 1'!$J$5&gt;3,IF(AND(OR(ISBLANK(I45),I45=""),ISBLANK('Personnel Yr 3'!J45)),"",'Personnel Yr 3'!J45),"")</f>
        <v/>
      </c>
      <c r="K45" s="22" t="str">
        <f>IF('Personnel Yr 1'!$J$5&gt;3,IF(AND(OR(ISBLANK(J45),J45=""),ISBLANK('Personnel Yr 3'!K45)),"",'Personnel Yr 3'!K45),"")</f>
        <v/>
      </c>
      <c r="L45" s="44" t="str">
        <f>IF('Personnel Yr 1'!$J$5&gt;3,IF(NOT(OR(ISBLANK(H45),H45="")), IF(OR(AND(ISBLANK(I45),ISBLANK(J45),ISBLANK(K45)),AND(I45="",J45="",K45="")),0, IF((AND((I45&gt;0),((J45+K45)&gt;0))),"Error", IF((I45&gt;0),ROUND((IF(AND('Personnel Yr 1'!$O$5&gt;0,H45&gt;'Personnel Yr 1'!$O$5),'Personnel Yr 1'!$O$5,H45)*(I45/12)),2),ROUND((IF(AND('Personnel Yr 1'!$O$5&gt;0,H45&gt;'Personnel Yr 1'!$O$5),'Personnel Yr 1'!$O$5,H45)*((J45+K45)/8.5)),2)))),""),"")</f>
        <v/>
      </c>
      <c r="M45" s="44" t="str">
        <f>IF('Personnel Yr 1'!$J$5&gt;3,IF(OR(ISBLANK(L45),L45=""),"",ROUND(SUM(T45:V45),2)),"")</f>
        <v/>
      </c>
      <c r="N45" s="51" t="str">
        <f>IF('Personnel Yr 1'!$J$5&gt;3,IF(OR(ISBLANK(M45),M45=""),"",ROUND(SUM(L45:M45),2)),"")</f>
        <v/>
      </c>
      <c r="O45" s="157"/>
      <c r="P45" s="336">
        <f>IF('Personnel Yr 1'!$J$5&gt;3,IF(NOT(OR(ISBLANK(I45),I45="")),(H45/12)*I45,""),0)</f>
        <v>0</v>
      </c>
      <c r="Q45" s="337">
        <f>IF('Personnel Yr 1'!$J$5&gt;3,IF(NOT(OR(ISBLANK(J45),J45="")),(H45/8.5)*J45,""),0)</f>
        <v>0</v>
      </c>
      <c r="R45" s="336">
        <f>IF('Personnel Yr 1'!$J$5&gt;3,IF(NOT(OR(ISBLANK(K45),K45="")),(H45/8.5)*K45,""),0)</f>
        <v>0</v>
      </c>
      <c r="T45" s="336">
        <f t="shared" si="3"/>
        <v>0</v>
      </c>
      <c r="U45" s="336">
        <f t="shared" si="4"/>
        <v>0</v>
      </c>
      <c r="V45" s="336">
        <f t="shared" si="5"/>
        <v>0</v>
      </c>
      <c r="X45" s="336">
        <v>45</v>
      </c>
      <c r="Y45" s="336" t="b">
        <f>IF('Personnel Yr 1'!$J$5&gt;3,IF(OR($N$5&lt;&gt;"Federal - NIH",OR(AND(ISBLANK(I45),ISBLANK(J45),ISBLANK(K45)),AND(I45="",J45="",K45=""))),FALSE,IF(I45&gt;0,H45&gt;NIHSalaryCap,H45&gt;(NIHSalaryCap*8.5)/12)),FALSE)</f>
        <v>0</v>
      </c>
    </row>
    <row r="46" spans="1:25" x14ac:dyDescent="0.2">
      <c r="A46" s="5">
        <v>3</v>
      </c>
      <c r="B46" s="6" t="str">
        <f>IF('Personnel Yr 1'!$J$5&gt;3,IF(NOT(OR(ISBLANK('Personnel Yr 3'!B46),'Personnel Yr 3'!B46="")),'Personnel Yr 3'!B46,""),"")</f>
        <v/>
      </c>
      <c r="C46" s="22" t="str">
        <f>IF('Personnel Yr 1'!$J$5&gt;3,IF(ISBLANK('Personnel Yr 3'!C46),"",'Personnel Yr 3'!C46),"")</f>
        <v/>
      </c>
      <c r="D46" s="22" t="str">
        <f>IF('Personnel Yr 1'!$J$5&gt;3,IF(ISBLANK('Personnel Yr 3'!D46),"",'Personnel Yr 3'!D46),"")</f>
        <v/>
      </c>
      <c r="E46" s="22" t="str">
        <f>IF('Personnel Yr 1'!$J$5&gt;3,IF(ISBLANK('Personnel Yr 3'!E46),"",'Personnel Yr 3'!E46),"")</f>
        <v/>
      </c>
      <c r="F46" s="22" t="str">
        <f>IF('Personnel Yr 1'!$J$5&gt;3,IF(ISBLANK('Personnel Yr 3'!F46),"",'Personnel Yr 3'!F46),"")</f>
        <v/>
      </c>
      <c r="G46" s="70" t="str">
        <f>IF('Personnel Yr 1'!$J$5&gt;3,IF(ISBLANK('Personnel Yr 3'!G46),"",'Personnel Yr 3'!G46),"")</f>
        <v/>
      </c>
      <c r="H46" s="42" t="str">
        <f>IF('Personnel Yr 1'!$J$5&gt;3,IF(NOT(OR(ISBLANK('Personnel Yr 3'!H46),'Personnel Yr 3'!H46="")),(('Personnel Yr 3'!H46*'Personnel Yr 1'!$D$5)+'Personnel Yr 3'!H46),""),"")</f>
        <v/>
      </c>
      <c r="I46" s="22" t="str">
        <f>IF('Personnel Yr 1'!$J$5&gt;3,IF(AND(OR(ISBLANK(H46),H46=""),ISBLANK('Personnel Yr 3'!I46)),"",'Personnel Yr 3'!I46),"")</f>
        <v/>
      </c>
      <c r="J46" s="22" t="str">
        <f>IF('Personnel Yr 1'!$J$5&gt;3,IF(AND(OR(ISBLANK(I46),I46=""),ISBLANK('Personnel Yr 3'!J46)),"",'Personnel Yr 3'!J46),"")</f>
        <v/>
      </c>
      <c r="K46" s="22" t="str">
        <f>IF('Personnel Yr 1'!$J$5&gt;3,IF(AND(OR(ISBLANK(J46),J46=""),ISBLANK('Personnel Yr 3'!K46)),"",'Personnel Yr 3'!K46),"")</f>
        <v/>
      </c>
      <c r="L46" s="44" t="str">
        <f>IF('Personnel Yr 1'!$J$5&gt;3,IF(NOT(OR(ISBLANK(H46),H46="")), IF(OR(AND(ISBLANK(I46),ISBLANK(J46),ISBLANK(K46)),AND(I46="",J46="",K46="")),0, IF((AND((I46&gt;0),((J46+K46)&gt;0))),"Error", IF((I46&gt;0),ROUND((IF(AND('Personnel Yr 1'!$O$5&gt;0,H46&gt;'Personnel Yr 1'!$O$5),'Personnel Yr 1'!$O$5,H46)*(I46/12)),2),ROUND((IF(AND('Personnel Yr 1'!$O$5&gt;0,H46&gt;'Personnel Yr 1'!$O$5),'Personnel Yr 1'!$O$5,H46)*((J46+K46)/8.5)),2)))),""),"")</f>
        <v/>
      </c>
      <c r="M46" s="44" t="str">
        <f>IF('Personnel Yr 1'!$J$5&gt;3,IF(OR(ISBLANK(L46),L46=""),"",ROUND(SUM(T46:V46),2)),"")</f>
        <v/>
      </c>
      <c r="N46" s="51" t="str">
        <f>IF('Personnel Yr 1'!$J$5&gt;3,IF(OR(ISBLANK(M46),M46=""),"",ROUND(SUM(L46:M46),2)),"")</f>
        <v/>
      </c>
      <c r="O46" s="160"/>
      <c r="P46" s="336">
        <f>IF('Personnel Yr 1'!$J$5&gt;3,IF(NOT(OR(ISBLANK(I46),I46="")),(H46/12)*I46,""),0)</f>
        <v>0</v>
      </c>
      <c r="Q46" s="337">
        <f>IF('Personnel Yr 1'!$J$5&gt;3,IF(NOT(OR(ISBLANK(J46),J46="")),(H46/8.5)*J46,""),0)</f>
        <v>0</v>
      </c>
      <c r="R46" s="336">
        <f>IF('Personnel Yr 1'!$J$5&gt;3,IF(NOT(OR(ISBLANK(K46),K46="")),(H46/8.5)*K46,""),0)</f>
        <v>0</v>
      </c>
      <c r="T46" s="336">
        <f t="shared" si="3"/>
        <v>0</v>
      </c>
      <c r="U46" s="336">
        <f t="shared" si="4"/>
        <v>0</v>
      </c>
      <c r="V46" s="336">
        <f t="shared" si="5"/>
        <v>0</v>
      </c>
      <c r="X46" s="336">
        <v>46</v>
      </c>
      <c r="Y46" s="336" t="b">
        <f>IF('Personnel Yr 1'!$J$5&gt;3,IF(OR($N$5&lt;&gt;"Federal - NIH",OR(AND(ISBLANK(I46),ISBLANK(J46),ISBLANK(K46)),AND(I46="",J46="",K46=""))),FALSE,IF(I46&gt;0,H46&gt;NIHSalaryCap,H46&gt;(NIHSalaryCap*8.5)/12)),FALSE)</f>
        <v>0</v>
      </c>
    </row>
    <row r="47" spans="1:25" x14ac:dyDescent="0.2">
      <c r="A47" s="5">
        <v>4</v>
      </c>
      <c r="B47" s="6" t="str">
        <f>IF('Personnel Yr 1'!$J$5&gt;3,IF(NOT(OR(ISBLANK('Personnel Yr 3'!B47),'Personnel Yr 3'!B47="")),'Personnel Yr 3'!B47,""),"")</f>
        <v/>
      </c>
      <c r="C47" s="22" t="str">
        <f>IF('Personnel Yr 1'!$J$5&gt;3,IF(ISBLANK('Personnel Yr 3'!C47),"",'Personnel Yr 3'!C47),"")</f>
        <v/>
      </c>
      <c r="D47" s="22" t="str">
        <f>IF('Personnel Yr 1'!$J$5&gt;3,IF(ISBLANK('Personnel Yr 3'!D47),"",'Personnel Yr 3'!D47),"")</f>
        <v/>
      </c>
      <c r="E47" s="22" t="str">
        <f>IF('Personnel Yr 1'!$J$5&gt;3,IF(ISBLANK('Personnel Yr 3'!E47),"",'Personnel Yr 3'!E47),"")</f>
        <v/>
      </c>
      <c r="F47" s="22" t="str">
        <f>IF('Personnel Yr 1'!$J$5&gt;3,IF(ISBLANK('Personnel Yr 3'!F47),"",'Personnel Yr 3'!F47),"")</f>
        <v/>
      </c>
      <c r="G47" s="71" t="str">
        <f>IF('Personnel Yr 1'!$J$5&gt;3,IF(ISBLANK('Personnel Yr 3'!G47),"",'Personnel Yr 3'!G47),"")</f>
        <v/>
      </c>
      <c r="H47" s="42" t="str">
        <f>IF('Personnel Yr 1'!$J$5&gt;3,IF(NOT(OR(ISBLANK('Personnel Yr 3'!H47),'Personnel Yr 3'!H47="")),(('Personnel Yr 3'!H47*'Personnel Yr 1'!$D$5)+'Personnel Yr 3'!H47),""),"")</f>
        <v/>
      </c>
      <c r="I47" s="22" t="str">
        <f>IF('Personnel Yr 1'!$J$5&gt;3,IF(AND(OR(ISBLANK(H47),H47=""),ISBLANK('Personnel Yr 3'!I47)),"",'Personnel Yr 3'!I47),"")</f>
        <v/>
      </c>
      <c r="J47" s="22" t="str">
        <f>IF('Personnel Yr 1'!$J$5&gt;3,IF(AND(OR(ISBLANK(I47),I47=""),ISBLANK('Personnel Yr 3'!J47)),"",'Personnel Yr 3'!J47),"")</f>
        <v/>
      </c>
      <c r="K47" s="22" t="str">
        <f>IF('Personnel Yr 1'!$J$5&gt;3,IF(AND(OR(ISBLANK(J47),J47=""),ISBLANK('Personnel Yr 3'!K47)),"",'Personnel Yr 3'!K47),"")</f>
        <v/>
      </c>
      <c r="L47" s="44" t="str">
        <f>IF('Personnel Yr 1'!$J$5&gt;3,IF(NOT(OR(ISBLANK(H47),H47="")), IF(OR(AND(ISBLANK(I47),ISBLANK(J47),ISBLANK(K47)),AND(I47="",J47="",K47="")),0, IF((AND((I47&gt;0),((J47+K47)&gt;0))),"Error", IF((I47&gt;0),ROUND((IF(AND('Personnel Yr 1'!$O$5&gt;0,H47&gt;'Personnel Yr 1'!$O$5),'Personnel Yr 1'!$O$5,H47)*(I47/12)),2),ROUND((IF(AND('Personnel Yr 1'!$O$5&gt;0,H47&gt;'Personnel Yr 1'!$O$5),'Personnel Yr 1'!$O$5,H47)*((J47+K47)/8.5)),2)))),""),"")</f>
        <v/>
      </c>
      <c r="M47" s="44" t="str">
        <f>IF('Personnel Yr 1'!$J$5&gt;3,IF(OR(ISBLANK(L47),L47=""),"",ROUND(SUM(T47:V47),2)),"")</f>
        <v/>
      </c>
      <c r="N47" s="51" t="str">
        <f>IF('Personnel Yr 1'!$J$5&gt;3,IF(OR(ISBLANK(M47),M47=""),"",ROUND(SUM(L47:M47),2)),"")</f>
        <v/>
      </c>
      <c r="O47" s="159"/>
      <c r="P47" s="336">
        <f>IF('Personnel Yr 1'!$J$5&gt;3,IF(NOT(OR(ISBLANK(I47),I47="")),(H47/12)*I47,""),0)</f>
        <v>0</v>
      </c>
      <c r="Q47" s="337">
        <f>IF('Personnel Yr 1'!$J$5&gt;3,IF(NOT(OR(ISBLANK(J47),J47="")),(H47/8.5)*J47,""),0)</f>
        <v>0</v>
      </c>
      <c r="R47" s="336">
        <f>IF('Personnel Yr 1'!$J$5&gt;3,IF(NOT(OR(ISBLANK(K47),K47="")),(H47/8.5)*K47,""),0)</f>
        <v>0</v>
      </c>
      <c r="T47" s="336">
        <f t="shared" si="3"/>
        <v>0</v>
      </c>
      <c r="U47" s="336">
        <f t="shared" si="4"/>
        <v>0</v>
      </c>
      <c r="V47" s="336">
        <f t="shared" si="5"/>
        <v>0</v>
      </c>
      <c r="X47" s="336">
        <v>47</v>
      </c>
      <c r="Y47" s="336" t="b">
        <f>IF('Personnel Yr 1'!$J$5&gt;3,IF(OR($N$5&lt;&gt;"Federal - NIH",OR(AND(ISBLANK(I47),ISBLANK(J47),ISBLANK(K47)),AND(I47="",J47="",K47=""))),FALSE,IF(I47&gt;0,H47&gt;NIHSalaryCap,H47&gt;(NIHSalaryCap*8.5)/12)),FALSE)</f>
        <v>0</v>
      </c>
    </row>
    <row r="48" spans="1:25" x14ac:dyDescent="0.2">
      <c r="A48" s="5">
        <v>5</v>
      </c>
      <c r="B48" s="6" t="str">
        <f>IF('Personnel Yr 1'!$J$5&gt;3,IF(NOT(OR(ISBLANK('Personnel Yr 3'!B48),'Personnel Yr 3'!B48="")),'Personnel Yr 3'!B48,""),"")</f>
        <v/>
      </c>
      <c r="C48" s="22" t="str">
        <f>IF('Personnel Yr 1'!$J$5&gt;3,IF(ISBLANK('Personnel Yr 3'!C48),"",'Personnel Yr 3'!C48),"")</f>
        <v/>
      </c>
      <c r="D48" s="22" t="str">
        <f>IF('Personnel Yr 1'!$J$5&gt;3,IF(ISBLANK('Personnel Yr 3'!D48),"",'Personnel Yr 3'!D48),"")</f>
        <v/>
      </c>
      <c r="E48" s="22" t="str">
        <f>IF('Personnel Yr 1'!$J$5&gt;3,IF(ISBLANK('Personnel Yr 3'!E48),"",'Personnel Yr 3'!E48),"")</f>
        <v/>
      </c>
      <c r="F48" s="22" t="str">
        <f>IF('Personnel Yr 1'!$J$5&gt;3,IF(ISBLANK('Personnel Yr 3'!F48),"",'Personnel Yr 3'!F48),"")</f>
        <v/>
      </c>
      <c r="G48" s="22" t="str">
        <f>IF('Personnel Yr 1'!$J$5&gt;3,IF(ISBLANK('Personnel Yr 3'!G48),"",'Personnel Yr 3'!G48),"")</f>
        <v/>
      </c>
      <c r="H48" s="42" t="str">
        <f>IF('Personnel Yr 1'!$J$5&gt;3,IF(NOT(OR(ISBLANK('Personnel Yr 3'!H48),'Personnel Yr 3'!H48="")),(('Personnel Yr 3'!H48*'Personnel Yr 1'!$D$5)+'Personnel Yr 3'!H48),""),"")</f>
        <v/>
      </c>
      <c r="I48" s="22" t="str">
        <f>IF('Personnel Yr 1'!$J$5&gt;3,IF(AND(OR(ISBLANK(H48),H48=""),ISBLANK('Personnel Yr 3'!I48)),"",'Personnel Yr 3'!I48),"")</f>
        <v/>
      </c>
      <c r="J48" s="22" t="str">
        <f>IF('Personnel Yr 1'!$J$5&gt;3,IF(AND(OR(ISBLANK(I48),I48=""),ISBLANK('Personnel Yr 3'!J48)),"",'Personnel Yr 3'!J48),"")</f>
        <v/>
      </c>
      <c r="K48" s="22" t="str">
        <f>IF('Personnel Yr 1'!$J$5&gt;3,IF(AND(OR(ISBLANK(J48),J48=""),ISBLANK('Personnel Yr 3'!K48)),"",'Personnel Yr 3'!K48),"")</f>
        <v/>
      </c>
      <c r="L48" s="44" t="str">
        <f>IF('Personnel Yr 1'!$J$5&gt;3,IF(NOT(OR(ISBLANK(H48),H48="")), IF(OR(AND(ISBLANK(I48),ISBLANK(J48),ISBLANK(K48)),AND(I48="",J48="",K48="")),0, IF((AND((I48&gt;0),((J48+K48)&gt;0))),"Error", IF((I48&gt;0),ROUND((IF(AND('Personnel Yr 1'!$O$5&gt;0,H48&gt;'Personnel Yr 1'!$O$5),'Personnel Yr 1'!$O$5,H48)*(I48/12)),2),ROUND((IF(AND('Personnel Yr 1'!$O$5&gt;0,H48&gt;'Personnel Yr 1'!$O$5),'Personnel Yr 1'!$O$5,H48)*((J48+K48)/8.5)),2)))),""),"")</f>
        <v/>
      </c>
      <c r="M48" s="44" t="str">
        <f>IF('Personnel Yr 1'!$J$5&gt;3,IF(OR(ISBLANK(L48),L48=""),"",ROUND(SUM(T48:V48),2)),"")</f>
        <v/>
      </c>
      <c r="N48" s="51" t="str">
        <f>IF('Personnel Yr 1'!$J$5&gt;3,IF(OR(ISBLANK(M48),M48=""),"",ROUND(SUM(L48:M48),2)),"")</f>
        <v/>
      </c>
      <c r="O48" s="159"/>
      <c r="P48" s="336">
        <f>IF('Personnel Yr 1'!$J$5&gt;3,IF(NOT(OR(ISBLANK(I48),I48="")),(H48/12)*I48,""),0)</f>
        <v>0</v>
      </c>
      <c r="Q48" s="337">
        <f>IF('Personnel Yr 1'!$J$5&gt;3,IF(NOT(OR(ISBLANK(J48),J48="")),(H48/8.5)*J48,""),0)</f>
        <v>0</v>
      </c>
      <c r="R48" s="336">
        <f>IF('Personnel Yr 1'!$J$5&gt;3,IF(NOT(OR(ISBLANK(K48),K48="")),(H48/8.5)*K48,""),0)</f>
        <v>0</v>
      </c>
      <c r="T48" s="336">
        <f t="shared" si="3"/>
        <v>0</v>
      </c>
      <c r="U48" s="336">
        <f t="shared" si="4"/>
        <v>0</v>
      </c>
      <c r="V48" s="336">
        <f t="shared" si="5"/>
        <v>0</v>
      </c>
      <c r="X48" s="336">
        <v>48</v>
      </c>
      <c r="Y48" s="336" t="b">
        <f>IF('Personnel Yr 1'!$J$5&gt;3,IF(OR($N$5&lt;&gt;"Federal - NIH",OR(AND(ISBLANK(I48),ISBLANK(J48),ISBLANK(K48)),AND(I48="",J48="",K48=""))),FALSE,IF(I48&gt;0,H48&gt;NIHSalaryCap,H48&gt;(NIHSalaryCap*8.5)/12)),FALSE)</f>
        <v>0</v>
      </c>
    </row>
    <row r="49" spans="1:25" x14ac:dyDescent="0.2">
      <c r="A49" s="5">
        <v>6</v>
      </c>
      <c r="B49" s="6" t="str">
        <f>IF('Personnel Yr 1'!$J$5&gt;3,IF(NOT(OR(ISBLANK('Personnel Yr 3'!B49),'Personnel Yr 3'!B49="")),'Personnel Yr 3'!B49,""),"")</f>
        <v/>
      </c>
      <c r="C49" s="22" t="str">
        <f>IF('Personnel Yr 1'!$J$5&gt;3,IF(ISBLANK('Personnel Yr 3'!C49),"",'Personnel Yr 3'!C49),"")</f>
        <v/>
      </c>
      <c r="D49" s="22" t="str">
        <f>IF('Personnel Yr 1'!$J$5&gt;3,IF(ISBLANK('Personnel Yr 3'!D49),"",'Personnel Yr 3'!D49),"")</f>
        <v/>
      </c>
      <c r="E49" s="22" t="str">
        <f>IF('Personnel Yr 1'!$J$5&gt;3,IF(ISBLANK('Personnel Yr 3'!E49),"",'Personnel Yr 3'!E49),"")</f>
        <v/>
      </c>
      <c r="F49" s="22" t="str">
        <f>IF('Personnel Yr 1'!$J$5&gt;3,IF(ISBLANK('Personnel Yr 3'!F49),"",'Personnel Yr 3'!F49),"")</f>
        <v/>
      </c>
      <c r="G49" s="22" t="str">
        <f>IF('Personnel Yr 1'!$J$5&gt;3,IF(ISBLANK('Personnel Yr 3'!G49),"",'Personnel Yr 3'!G49),"")</f>
        <v/>
      </c>
      <c r="H49" s="42" t="str">
        <f>IF('Personnel Yr 1'!$J$5&gt;3,IF(NOT(OR(ISBLANK('Personnel Yr 3'!H49),'Personnel Yr 3'!H49="")),(('Personnel Yr 3'!H49*'Personnel Yr 1'!$D$5)+'Personnel Yr 3'!H49),""),"")</f>
        <v/>
      </c>
      <c r="I49" s="22" t="str">
        <f>IF('Personnel Yr 1'!$J$5&gt;3,IF(AND(OR(ISBLANK(H49),H49=""),ISBLANK('Personnel Yr 3'!I49)),"",'Personnel Yr 3'!I49),"")</f>
        <v/>
      </c>
      <c r="J49" s="22" t="str">
        <f>IF('Personnel Yr 1'!$J$5&gt;3,IF(AND(OR(ISBLANK(I49),I49=""),ISBLANK('Personnel Yr 3'!J49)),"",'Personnel Yr 3'!J49),"")</f>
        <v/>
      </c>
      <c r="K49" s="22" t="str">
        <f>IF('Personnel Yr 1'!$J$5&gt;3,IF(AND(OR(ISBLANK(J49),J49=""),ISBLANK('Personnel Yr 3'!K49)),"",'Personnel Yr 3'!K49),"")</f>
        <v/>
      </c>
      <c r="L49" s="44" t="str">
        <f>IF('Personnel Yr 1'!$J$5&gt;3,IF(NOT(OR(ISBLANK(H49),H49="")), IF(OR(AND(ISBLANK(I49),ISBLANK(J49),ISBLANK(K49)),AND(I49="",J49="",K49="")),0, IF((AND((I49&gt;0),((J49+K49)&gt;0))),"Error", IF((I49&gt;0),ROUND((IF(AND('Personnel Yr 1'!$O$5&gt;0,H49&gt;'Personnel Yr 1'!$O$5),'Personnel Yr 1'!$O$5,H49)*(I49/12)),2),ROUND((IF(AND('Personnel Yr 1'!$O$5&gt;0,H49&gt;'Personnel Yr 1'!$O$5),'Personnel Yr 1'!$O$5,H49)*((J49+K49)/8.5)),2)))),""),"")</f>
        <v/>
      </c>
      <c r="M49" s="44" t="str">
        <f>IF('Personnel Yr 1'!$J$5&gt;3,IF(OR(ISBLANK(L49),L49=""),"",ROUND(SUM(T49:V49),2)),"")</f>
        <v/>
      </c>
      <c r="N49" s="51" t="str">
        <f>IF('Personnel Yr 1'!$J$5&gt;3,IF(OR(ISBLANK(M49),M49=""),"",ROUND(SUM(L49:M49),2)),"")</f>
        <v/>
      </c>
      <c r="O49" s="157"/>
      <c r="P49" s="336">
        <f>IF('Personnel Yr 1'!$J$5&gt;3,IF(NOT(OR(ISBLANK(I49),I49="")),(H49/12)*I49,""),0)</f>
        <v>0</v>
      </c>
      <c r="Q49" s="337">
        <f>IF('Personnel Yr 1'!$J$5&gt;3,IF(NOT(OR(ISBLANK(J49),J49="")),(H49/8.5)*J49,""),0)</f>
        <v>0</v>
      </c>
      <c r="R49" s="336">
        <f>IF('Personnel Yr 1'!$J$5&gt;3,IF(NOT(OR(ISBLANK(K49),K49="")),(H49/8.5)*K49,""),0)</f>
        <v>0</v>
      </c>
      <c r="T49" s="336">
        <f t="shared" si="3"/>
        <v>0</v>
      </c>
      <c r="U49" s="336">
        <f t="shared" si="4"/>
        <v>0</v>
      </c>
      <c r="V49" s="336">
        <f t="shared" si="5"/>
        <v>0</v>
      </c>
      <c r="X49" s="336">
        <v>49</v>
      </c>
      <c r="Y49" s="336" t="b">
        <f>IF('Personnel Yr 1'!$J$5&gt;3,IF(OR($N$5&lt;&gt;"Federal - NIH",OR(AND(ISBLANK(I49),ISBLANK(J49),ISBLANK(K49)),AND(I49="",J49="",K49=""))),FALSE,IF(I49&gt;0,H49&gt;NIHSalaryCap,H49&gt;(NIHSalaryCap*8.5)/12)),FALSE)</f>
        <v>0</v>
      </c>
    </row>
    <row r="50" spans="1:25" x14ac:dyDescent="0.2">
      <c r="A50" s="5">
        <v>7</v>
      </c>
      <c r="B50" s="6" t="str">
        <f>IF('Personnel Yr 1'!$J$5&gt;3,IF(NOT(OR(ISBLANK('Personnel Yr 3'!B50),'Personnel Yr 3'!B50="")),'Personnel Yr 3'!B50,""),"")</f>
        <v/>
      </c>
      <c r="C50" s="22" t="str">
        <f>IF('Personnel Yr 1'!$J$5&gt;3,IF(ISBLANK('Personnel Yr 3'!C50),"",'Personnel Yr 3'!C50),"")</f>
        <v/>
      </c>
      <c r="D50" s="22" t="str">
        <f>IF('Personnel Yr 1'!$J$5&gt;3,IF(ISBLANK('Personnel Yr 3'!D50),"",'Personnel Yr 3'!D50),"")</f>
        <v/>
      </c>
      <c r="E50" s="22" t="str">
        <f>IF('Personnel Yr 1'!$J$5&gt;3,IF(ISBLANK('Personnel Yr 3'!E50),"",'Personnel Yr 3'!E50),"")</f>
        <v/>
      </c>
      <c r="F50" s="22" t="str">
        <f>IF('Personnel Yr 1'!$J$5&gt;3,IF(ISBLANK('Personnel Yr 3'!F50),"",'Personnel Yr 3'!F50),"")</f>
        <v/>
      </c>
      <c r="G50" s="22" t="str">
        <f>IF('Personnel Yr 1'!$J$5&gt;3,IF(ISBLANK('Personnel Yr 3'!G50),"",'Personnel Yr 3'!G50),"")</f>
        <v/>
      </c>
      <c r="H50" s="42" t="str">
        <f>IF('Personnel Yr 1'!$J$5&gt;3,IF(NOT(OR(ISBLANK('Personnel Yr 3'!H50),'Personnel Yr 3'!H50="")),(('Personnel Yr 3'!H50*'Personnel Yr 1'!$D$5)+'Personnel Yr 3'!H50),""),"")</f>
        <v/>
      </c>
      <c r="I50" s="22" t="str">
        <f>IF('Personnel Yr 1'!$J$5&gt;3,IF(AND(OR(ISBLANK(H50),H50=""),ISBLANK('Personnel Yr 3'!I50)),"",'Personnel Yr 3'!I50),"")</f>
        <v/>
      </c>
      <c r="J50" s="22" t="str">
        <f>IF('Personnel Yr 1'!$J$5&gt;3,IF(AND(OR(ISBLANK(I50),I50=""),ISBLANK('Personnel Yr 3'!J50)),"",'Personnel Yr 3'!J50),"")</f>
        <v/>
      </c>
      <c r="K50" s="22" t="str">
        <f>IF('Personnel Yr 1'!$J$5&gt;3,IF(AND(OR(ISBLANK(J50),J50=""),ISBLANK('Personnel Yr 3'!K50)),"",'Personnel Yr 3'!K50),"")</f>
        <v/>
      </c>
      <c r="L50" s="44" t="str">
        <f>IF('Personnel Yr 1'!$J$5&gt;3,IF(NOT(OR(ISBLANK(H50),H50="")), IF(OR(AND(ISBLANK(I50),ISBLANK(J50),ISBLANK(K50)),AND(I50="",J50="",K50="")),0, IF((AND((I50&gt;0),((J50+K50)&gt;0))),"Error", IF((I50&gt;0),ROUND((IF(AND('Personnel Yr 1'!$O$5&gt;0,H50&gt;'Personnel Yr 1'!$O$5),'Personnel Yr 1'!$O$5,H50)*(I50/12)),2),ROUND((IF(AND('Personnel Yr 1'!$O$5&gt;0,H50&gt;'Personnel Yr 1'!$O$5),'Personnel Yr 1'!$O$5,H50)*((J50+K50)/8.5)),2)))),""),"")</f>
        <v/>
      </c>
      <c r="M50" s="44" t="str">
        <f>IF('Personnel Yr 1'!$J$5&gt;3,IF(OR(ISBLANK(L50),L50=""),"",ROUND(SUM(T50:V50),2)),"")</f>
        <v/>
      </c>
      <c r="N50" s="51" t="str">
        <f>IF('Personnel Yr 1'!$J$5&gt;3,IF(OR(ISBLANK(M50),M50=""),"",ROUND(SUM(L50:M50),2)),"")</f>
        <v/>
      </c>
      <c r="O50" s="159"/>
      <c r="P50" s="336">
        <f>IF('Personnel Yr 1'!$J$5&gt;3,IF(NOT(OR(ISBLANK(I50),I50="")),(H50/12)*I50,""),0)</f>
        <v>0</v>
      </c>
      <c r="Q50" s="337">
        <f>IF('Personnel Yr 1'!$J$5&gt;3,IF(NOT(OR(ISBLANK(J50),J50="")),(H50/8.5)*J50,""),0)</f>
        <v>0</v>
      </c>
      <c r="R50" s="336">
        <f>IF('Personnel Yr 1'!$J$5&gt;3,IF(NOT(OR(ISBLANK(K50),K50="")),(H50/8.5)*K50,""),0)</f>
        <v>0</v>
      </c>
      <c r="T50" s="336">
        <f t="shared" si="3"/>
        <v>0</v>
      </c>
      <c r="U50" s="336">
        <f t="shared" si="4"/>
        <v>0</v>
      </c>
      <c r="V50" s="336">
        <f t="shared" si="5"/>
        <v>0</v>
      </c>
      <c r="X50" s="336">
        <v>50</v>
      </c>
      <c r="Y50" s="336" t="b">
        <f>IF('Personnel Yr 1'!$J$5&gt;3,IF(OR($N$5&lt;&gt;"Federal - NIH",OR(AND(ISBLANK(I50),ISBLANK(J50),ISBLANK(K50)),AND(I50="",J50="",K50=""))),FALSE,IF(I50&gt;0,H50&gt;NIHSalaryCap,H50&gt;(NIHSalaryCap*8.5)/12)),FALSE)</f>
        <v>0</v>
      </c>
    </row>
    <row r="51" spans="1:25" x14ac:dyDescent="0.2">
      <c r="A51" s="5">
        <v>8</v>
      </c>
      <c r="B51" s="75" t="str">
        <f>IF('Personnel Yr 1'!$J$5&gt;3,IF(NOT(OR(ISBLANK('Personnel Yr 3'!B51),'Personnel Yr 3'!B51="")),'Personnel Yr 3'!B51,""),"")</f>
        <v/>
      </c>
      <c r="C51" s="69" t="str">
        <f>IF('Personnel Yr 1'!$J$5&gt;3,IF(ISBLANK('Personnel Yr 3'!C51),"",'Personnel Yr 3'!C51),"")</f>
        <v/>
      </c>
      <c r="D51" s="69" t="str">
        <f>IF('Personnel Yr 1'!$J$5&gt;3,IF(ISBLANK('Personnel Yr 3'!D51),"",'Personnel Yr 3'!D51),"")</f>
        <v/>
      </c>
      <c r="E51" s="69" t="str">
        <f>IF('Personnel Yr 1'!$J$5&gt;3,IF(ISBLANK('Personnel Yr 3'!E51),"",'Personnel Yr 3'!E51),"")</f>
        <v/>
      </c>
      <c r="F51" s="69" t="str">
        <f>IF('Personnel Yr 1'!$J$5&gt;3,IF(ISBLANK('Personnel Yr 3'!F51),"",'Personnel Yr 3'!F51),"")</f>
        <v/>
      </c>
      <c r="G51" s="69" t="str">
        <f>IF('Personnel Yr 1'!$J$5&gt;3,IF(ISBLANK('Personnel Yr 3'!G51),"",'Personnel Yr 3'!G51),"")</f>
        <v/>
      </c>
      <c r="H51" s="42" t="str">
        <f>IF('Personnel Yr 1'!$J$5&gt;3,IF(NOT(OR(ISBLANK('Personnel Yr 3'!H51),'Personnel Yr 3'!H51="")),(('Personnel Yr 3'!H51*'Personnel Yr 1'!$D$5)+'Personnel Yr 3'!H51),""),"")</f>
        <v/>
      </c>
      <c r="I51" s="22" t="str">
        <f>IF('Personnel Yr 1'!$J$5&gt;3,IF(AND(OR(ISBLANK(H51),H51=""),ISBLANK('Personnel Yr 3'!I51)),"",'Personnel Yr 3'!I51),"")</f>
        <v/>
      </c>
      <c r="J51" s="22" t="str">
        <f>IF('Personnel Yr 1'!$J$5&gt;3,IF(AND(OR(ISBLANK(I51),I51=""),ISBLANK('Personnel Yr 3'!J51)),"",'Personnel Yr 3'!J51),"")</f>
        <v/>
      </c>
      <c r="K51" s="22" t="str">
        <f>IF('Personnel Yr 1'!$J$5&gt;3,IF(AND(OR(ISBLANK(J51),J51=""),ISBLANK('Personnel Yr 3'!K51)),"",'Personnel Yr 3'!K51),"")</f>
        <v/>
      </c>
      <c r="L51" s="44" t="str">
        <f>IF('Personnel Yr 1'!$J$5&gt;3,IF(NOT(OR(ISBLANK(H51),H51="")), IF(OR(AND(ISBLANK(I51),ISBLANK(J51),ISBLANK(K51)),AND(I51="",J51="",K51="")),0, IF((AND((I51&gt;0),((J51+K51)&gt;0))),"Error", IF((I51&gt;0),ROUND((IF(AND('Personnel Yr 1'!$O$5&gt;0,H51&gt;'Personnel Yr 1'!$O$5),'Personnel Yr 1'!$O$5,H51)*(I51/12)),2),ROUND((IF(AND('Personnel Yr 1'!$O$5&gt;0,H51&gt;'Personnel Yr 1'!$O$5),'Personnel Yr 1'!$O$5,H51)*((J51+K51)/8.5)),2)))),""),"")</f>
        <v/>
      </c>
      <c r="M51" s="49" t="str">
        <f>IF('Personnel Yr 1'!$J$5&gt;3,IF(OR(ISBLANK(L51),L51=""),"",ROUND(SUM(T51:V51),2)),"")</f>
        <v/>
      </c>
      <c r="N51" s="50" t="str">
        <f>IF('Personnel Yr 1'!$J$5&gt;3,IF(OR(ISBLANK(M51),M51=""),"",ROUND(SUM(L51:M51),2)),"")</f>
        <v/>
      </c>
      <c r="O51" s="182"/>
      <c r="P51" s="336">
        <f>IF('Personnel Yr 1'!$J$5&gt;3,IF(NOT(OR(ISBLANK(I51),I51="")),(H51/12)*I51,""),0)</f>
        <v>0</v>
      </c>
      <c r="Q51" s="337">
        <f>IF('Personnel Yr 1'!$J$5&gt;3,IF(NOT(OR(ISBLANK(J51),J51="")),(H51/8.5)*J51,""),0)</f>
        <v>0</v>
      </c>
      <c r="R51" s="336">
        <f>IF('Personnel Yr 1'!$J$5&gt;3,IF(NOT(OR(ISBLANK(K51),K51="")),(H51/8.5)*K51,""),0)</f>
        <v>0</v>
      </c>
      <c r="T51" s="336">
        <f t="shared" si="3"/>
        <v>0</v>
      </c>
      <c r="U51" s="336">
        <f t="shared" si="4"/>
        <v>0</v>
      </c>
      <c r="V51" s="336">
        <f t="shared" si="5"/>
        <v>0</v>
      </c>
      <c r="X51" s="336">
        <v>51</v>
      </c>
      <c r="Y51" s="336" t="b">
        <f>IF('Personnel Yr 1'!$J$5&gt;3,IF(OR($N$5&lt;&gt;"Federal - NIH",OR(AND(ISBLANK(I51),ISBLANK(J51),ISBLANK(K51)),AND(I51="",J51="",K51=""))),FALSE,IF(I51&gt;0,H51&gt;NIHSalaryCap,H51&gt;(NIHSalaryCap*8.5)/12)),FALSE)</f>
        <v>0</v>
      </c>
    </row>
    <row r="52" spans="1:25" x14ac:dyDescent="0.2">
      <c r="A52" s="5">
        <v>9</v>
      </c>
      <c r="B52" s="6" t="str">
        <f>IF('Personnel Yr 1'!$J$5&gt;3,IF(NOT(OR(ISBLANK('Personnel Yr 3'!B52),'Personnel Yr 3'!B52="")),'Personnel Yr 3'!B52,""),"")</f>
        <v/>
      </c>
      <c r="C52" s="22" t="str">
        <f>IF('Personnel Yr 1'!$J$5&gt;3,IF(ISBLANK('Personnel Yr 3'!C52),"",'Personnel Yr 3'!C52),"")</f>
        <v/>
      </c>
      <c r="D52" s="22" t="str">
        <f>IF('Personnel Yr 1'!$J$5&gt;3,IF(ISBLANK('Personnel Yr 3'!D52),"",'Personnel Yr 3'!D52),"")</f>
        <v/>
      </c>
      <c r="E52" s="22" t="str">
        <f>IF('Personnel Yr 1'!$J$5&gt;3,IF(ISBLANK('Personnel Yr 3'!E52),"",'Personnel Yr 3'!E52),"")</f>
        <v/>
      </c>
      <c r="F52" s="22" t="str">
        <f>IF('Personnel Yr 1'!$J$5&gt;3,IF(ISBLANK('Personnel Yr 3'!F52),"",'Personnel Yr 3'!F52),"")</f>
        <v/>
      </c>
      <c r="G52" s="71" t="str">
        <f>IF('Personnel Yr 1'!$J$5&gt;3,IF(ISBLANK('Personnel Yr 3'!G52),"",'Personnel Yr 3'!G52),"")</f>
        <v/>
      </c>
      <c r="H52" s="42" t="str">
        <f>IF('Personnel Yr 1'!$J$5&gt;3,IF(NOT(OR(ISBLANK('Personnel Yr 3'!H52),'Personnel Yr 3'!H52="")),(('Personnel Yr 3'!H52*'Personnel Yr 1'!$D$5)+'Personnel Yr 3'!H52),""),"")</f>
        <v/>
      </c>
      <c r="I52" s="22" t="str">
        <f>IF('Personnel Yr 1'!$J$5&gt;3,IF(AND(OR(ISBLANK(H52),H52=""),ISBLANK('Personnel Yr 3'!I52)),"",'Personnel Yr 3'!I52),"")</f>
        <v/>
      </c>
      <c r="J52" s="22" t="str">
        <f>IF('Personnel Yr 1'!$J$5&gt;3,IF(AND(OR(ISBLANK(I52),I52=""),ISBLANK('Personnel Yr 3'!J52)),"",'Personnel Yr 3'!J52),"")</f>
        <v/>
      </c>
      <c r="K52" s="22" t="str">
        <f>IF('Personnel Yr 1'!$J$5&gt;3,IF(AND(OR(ISBLANK(J52),J52=""),ISBLANK('Personnel Yr 3'!K52)),"",'Personnel Yr 3'!K52),"")</f>
        <v/>
      </c>
      <c r="L52" s="44" t="str">
        <f>IF('Personnel Yr 1'!$J$5&gt;3,IF(NOT(OR(ISBLANK(H52),H52="")), IF(OR(AND(ISBLANK(I52),ISBLANK(J52),ISBLANK(K52)),AND(I52="",J52="",K52="")),0, IF((AND((I52&gt;0),((J52+K52)&gt;0))),"Error", IF((I52&gt;0),ROUND((IF(AND('Personnel Yr 1'!$O$5&gt;0,H52&gt;'Personnel Yr 1'!$O$5),'Personnel Yr 1'!$O$5,H52)*(I52/12)),2),ROUND((IF(AND('Personnel Yr 1'!$O$5&gt;0,H52&gt;'Personnel Yr 1'!$O$5),'Personnel Yr 1'!$O$5,H52)*((J52+K52)/8.5)),2)))),""),"")</f>
        <v/>
      </c>
      <c r="M52" s="44" t="str">
        <f>IF('Personnel Yr 1'!$J$5&gt;3,IF(OR(ISBLANK(L52),L52=""),"",ROUND(SUM(T52:V52),2)),"")</f>
        <v/>
      </c>
      <c r="N52" s="51" t="str">
        <f>IF('Personnel Yr 1'!$J$5&gt;3,IF(OR(ISBLANK(M52),M52=""),"",ROUND(SUM(L52:M52),2)),"")</f>
        <v/>
      </c>
      <c r="O52" s="159"/>
      <c r="P52" s="336">
        <f>IF('Personnel Yr 1'!$J$5&gt;3,IF(NOT(OR(ISBLANK(I52),I52="")),(H52/12)*I52,""),0)</f>
        <v>0</v>
      </c>
      <c r="Q52" s="337">
        <f>IF('Personnel Yr 1'!$J$5&gt;3,IF(NOT(OR(ISBLANK(J52),J52="")),(H52/8.5)*J52,""),0)</f>
        <v>0</v>
      </c>
      <c r="R52" s="336">
        <f>IF('Personnel Yr 1'!$J$5&gt;3,IF(NOT(OR(ISBLANK(K52),K52="")),(H52/8.5)*K52,""),0)</f>
        <v>0</v>
      </c>
      <c r="T52" s="336">
        <f t="shared" si="3"/>
        <v>0</v>
      </c>
      <c r="U52" s="336">
        <f t="shared" si="4"/>
        <v>0</v>
      </c>
      <c r="V52" s="336">
        <f t="shared" si="5"/>
        <v>0</v>
      </c>
      <c r="X52" s="336">
        <v>52</v>
      </c>
      <c r="Y52" s="336" t="b">
        <f>IF('Personnel Yr 1'!$J$5&gt;3,IF(OR($N$5&lt;&gt;"Federal - NIH",OR(AND(ISBLANK(I52),ISBLANK(J52),ISBLANK(K52)),AND(I52="",J52="",K52=""))),FALSE,IF(I52&gt;0,H52&gt;NIHSalaryCap,H52&gt;(NIHSalaryCap*8.5)/12)),FALSE)</f>
        <v>0</v>
      </c>
    </row>
    <row r="53" spans="1:25" x14ac:dyDescent="0.2">
      <c r="A53" s="5">
        <v>10</v>
      </c>
      <c r="B53" s="6" t="str">
        <f>IF('Personnel Yr 1'!$J$5&gt;3,IF(NOT(OR(ISBLANK('Personnel Yr 3'!B53),'Personnel Yr 3'!B53="")),'Personnel Yr 3'!B53,""),"")</f>
        <v/>
      </c>
      <c r="C53" s="22" t="str">
        <f>IF('Personnel Yr 1'!$J$5&gt;3,IF(ISBLANK('Personnel Yr 3'!C53),"",'Personnel Yr 3'!C53),"")</f>
        <v/>
      </c>
      <c r="D53" s="22" t="str">
        <f>IF('Personnel Yr 1'!$J$5&gt;3,IF(ISBLANK('Personnel Yr 3'!D53),"",'Personnel Yr 3'!D53),"")</f>
        <v/>
      </c>
      <c r="E53" s="22" t="str">
        <f>IF('Personnel Yr 1'!$J$5&gt;3,IF(ISBLANK('Personnel Yr 3'!E53),"",'Personnel Yr 3'!E53),"")</f>
        <v/>
      </c>
      <c r="F53" s="22" t="str">
        <f>IF('Personnel Yr 1'!$J$5&gt;3,IF(ISBLANK('Personnel Yr 3'!F53),"",'Personnel Yr 3'!F53),"")</f>
        <v/>
      </c>
      <c r="G53" s="22" t="str">
        <f>IF('Personnel Yr 1'!$J$5&gt;3,IF(ISBLANK('Personnel Yr 3'!G53),"",'Personnel Yr 3'!G53),"")</f>
        <v/>
      </c>
      <c r="H53" s="42" t="str">
        <f>IF('Personnel Yr 1'!$J$5&gt;3,IF(NOT(OR(ISBLANK('Personnel Yr 3'!H53),'Personnel Yr 3'!H53="")),(('Personnel Yr 3'!H53*'Personnel Yr 1'!$D$5)+'Personnel Yr 3'!H53),""),"")</f>
        <v/>
      </c>
      <c r="I53" s="22" t="str">
        <f>IF('Personnel Yr 1'!$J$5&gt;3,IF(AND(OR(ISBLANK(H53),H53=""),ISBLANK('Personnel Yr 3'!I53)),"",'Personnel Yr 3'!I53),"")</f>
        <v/>
      </c>
      <c r="J53" s="22" t="str">
        <f>IF('Personnel Yr 1'!$J$5&gt;3,IF(AND(OR(ISBLANK(I53),I53=""),ISBLANK('Personnel Yr 3'!J53)),"",'Personnel Yr 3'!J53),"")</f>
        <v/>
      </c>
      <c r="K53" s="22" t="str">
        <f>IF('Personnel Yr 1'!$J$5&gt;3,IF(AND(OR(ISBLANK(J53),J53=""),ISBLANK('Personnel Yr 3'!K53)),"",'Personnel Yr 3'!K53),"")</f>
        <v/>
      </c>
      <c r="L53" s="44" t="str">
        <f>IF('Personnel Yr 1'!$J$5&gt;3,IF(NOT(OR(ISBLANK(H53),H53="")), IF(OR(AND(ISBLANK(I53),ISBLANK(J53),ISBLANK(K53)),AND(I53="",J53="",K53="")),0, IF((AND((I53&gt;0),((J53+K53)&gt;0))),"Error", IF((I53&gt;0),ROUND((IF(AND('Personnel Yr 1'!$O$5&gt;0,H53&gt;'Personnel Yr 1'!$O$5),'Personnel Yr 1'!$O$5,H53)*(I53/12)),2),ROUND((IF(AND('Personnel Yr 1'!$O$5&gt;0,H53&gt;'Personnel Yr 1'!$O$5),'Personnel Yr 1'!$O$5,H53)*((J53+K53)/8.5)),2)))),""),"")</f>
        <v/>
      </c>
      <c r="M53" s="44" t="str">
        <f>IF('Personnel Yr 1'!$J$5&gt;3,IF(OR(ISBLANK(L53),L53=""),"",ROUND(SUM(T53:V53),2)),"")</f>
        <v/>
      </c>
      <c r="N53" s="51" t="str">
        <f>IF('Personnel Yr 1'!$J$5&gt;3,IF(OR(ISBLANK(M53),M53=""),"",ROUND(SUM(L53:M53),2)),"")</f>
        <v/>
      </c>
      <c r="O53" s="159"/>
      <c r="P53" s="336">
        <f>IF('Personnel Yr 1'!$J$5&gt;3,IF(NOT(OR(ISBLANK(I53),I53="")),(H53/12)*I53,""),0)</f>
        <v>0</v>
      </c>
      <c r="Q53" s="337">
        <f>IF('Personnel Yr 1'!$J$5&gt;3,IF(NOT(OR(ISBLANK(J53),J53="")),(H53/8.5)*J53,""),0)</f>
        <v>0</v>
      </c>
      <c r="R53" s="336">
        <f>IF('Personnel Yr 1'!$J$5&gt;3,IF(NOT(OR(ISBLANK(K53),K53="")),(H53/8.5)*K53,""),0)</f>
        <v>0</v>
      </c>
      <c r="T53" s="336">
        <f t="shared" si="3"/>
        <v>0</v>
      </c>
      <c r="U53" s="336">
        <f t="shared" si="4"/>
        <v>0</v>
      </c>
      <c r="V53" s="336">
        <f t="shared" si="5"/>
        <v>0</v>
      </c>
      <c r="X53" s="336">
        <v>53</v>
      </c>
      <c r="Y53" s="336" t="b">
        <f>IF('Personnel Yr 1'!$J$5&gt;3,IF(OR($N$5&lt;&gt;"Federal - NIH",OR(AND(ISBLANK(I53),ISBLANK(J53),ISBLANK(K53)),AND(I53="",J53="",K53=""))),FALSE,IF(I53&gt;0,H53&gt;NIHSalaryCap,H53&gt;(NIHSalaryCap*8.5)/12)),FALSE)</f>
        <v>0</v>
      </c>
    </row>
    <row r="54" spans="1:25" x14ac:dyDescent="0.2">
      <c r="A54" s="5">
        <v>11</v>
      </c>
      <c r="B54" s="6" t="str">
        <f>IF('Personnel Yr 1'!$J$5&gt;3,IF(NOT(OR(ISBLANK('Personnel Yr 3'!B54),'Personnel Yr 3'!B54="")),'Personnel Yr 3'!B54,""),"")</f>
        <v/>
      </c>
      <c r="C54" s="22" t="str">
        <f>IF('Personnel Yr 1'!$J$5&gt;3,IF(ISBLANK('Personnel Yr 3'!C54),"",'Personnel Yr 3'!C54),"")</f>
        <v/>
      </c>
      <c r="D54" s="22" t="str">
        <f>IF('Personnel Yr 1'!$J$5&gt;3,IF(ISBLANK('Personnel Yr 3'!D54),"",'Personnel Yr 3'!D54),"")</f>
        <v/>
      </c>
      <c r="E54" s="22" t="str">
        <f>IF('Personnel Yr 1'!$J$5&gt;3,IF(ISBLANK('Personnel Yr 3'!E54),"",'Personnel Yr 3'!E54),"")</f>
        <v/>
      </c>
      <c r="F54" s="22" t="str">
        <f>IF('Personnel Yr 1'!$J$5&gt;3,IF(ISBLANK('Personnel Yr 3'!F54),"",'Personnel Yr 3'!F54),"")</f>
        <v/>
      </c>
      <c r="G54" s="22" t="str">
        <f>IF('Personnel Yr 1'!$J$5&gt;3,IF(ISBLANK('Personnel Yr 3'!G54),"",'Personnel Yr 3'!G54),"")</f>
        <v/>
      </c>
      <c r="H54" s="42" t="str">
        <f>IF('Personnel Yr 1'!$J$5&gt;3,IF(NOT(OR(ISBLANK('Personnel Yr 3'!H54),'Personnel Yr 3'!H54="")),(('Personnel Yr 3'!H54*'Personnel Yr 1'!$D$5)+'Personnel Yr 3'!H54),""),"")</f>
        <v/>
      </c>
      <c r="I54" s="22" t="str">
        <f>IF('Personnel Yr 1'!$J$5&gt;3,IF(AND(OR(ISBLANK(H54),H54=""),ISBLANK('Personnel Yr 3'!I54)),"",'Personnel Yr 3'!I54),"")</f>
        <v/>
      </c>
      <c r="J54" s="22" t="str">
        <f>IF('Personnel Yr 1'!$J$5&gt;3,IF(AND(OR(ISBLANK(I54),I54=""),ISBLANK('Personnel Yr 3'!J54)),"",'Personnel Yr 3'!J54),"")</f>
        <v/>
      </c>
      <c r="K54" s="22" t="str">
        <f>IF('Personnel Yr 1'!$J$5&gt;3,IF(AND(OR(ISBLANK(J54),J54=""),ISBLANK('Personnel Yr 3'!K54)),"",'Personnel Yr 3'!K54),"")</f>
        <v/>
      </c>
      <c r="L54" s="44" t="str">
        <f>IF('Personnel Yr 1'!$J$5&gt;3,IF(NOT(OR(ISBLANK(H54),H54="")), IF(OR(AND(ISBLANK(I54),ISBLANK(J54),ISBLANK(K54)),AND(I54="",J54="",K54="")),0, IF((AND((I54&gt;0),((J54+K54)&gt;0))),"Error", IF((I54&gt;0),ROUND((IF(AND('Personnel Yr 1'!$O$5&gt;0,H54&gt;'Personnel Yr 1'!$O$5),'Personnel Yr 1'!$O$5,H54)*(I54/12)),2),ROUND((IF(AND('Personnel Yr 1'!$O$5&gt;0,H54&gt;'Personnel Yr 1'!$O$5),'Personnel Yr 1'!$O$5,H54)*((J54+K54)/8.5)),2)))),""),"")</f>
        <v/>
      </c>
      <c r="M54" s="44" t="str">
        <f>IF('Personnel Yr 1'!$J$5&gt;3,IF(OR(ISBLANK(L54),L54=""),"",ROUND(SUM(T54:V54),2)),"")</f>
        <v/>
      </c>
      <c r="N54" s="51" t="str">
        <f>IF('Personnel Yr 1'!$J$5&gt;3,IF(OR(ISBLANK(M54),M54=""),"",ROUND(SUM(L54:M54),2)),"")</f>
        <v/>
      </c>
      <c r="O54" s="157"/>
      <c r="P54" s="336">
        <f>IF('Personnel Yr 1'!$J$5&gt;3,IF(NOT(OR(ISBLANK(I54),I54="")),(H54/12)*I54,""),0)</f>
        <v>0</v>
      </c>
      <c r="Q54" s="337">
        <f>IF('Personnel Yr 1'!$J$5&gt;3,IF(NOT(OR(ISBLANK(J54),J54="")),(H54/8.5)*J54,""),0)</f>
        <v>0</v>
      </c>
      <c r="R54" s="336">
        <f>IF('Personnel Yr 1'!$J$5&gt;3,IF(NOT(OR(ISBLANK(K54),K54="")),(H54/8.5)*K54,""),0)</f>
        <v>0</v>
      </c>
      <c r="T54" s="336">
        <f t="shared" si="3"/>
        <v>0</v>
      </c>
      <c r="U54" s="336">
        <f t="shared" si="4"/>
        <v>0</v>
      </c>
      <c r="V54" s="336">
        <f t="shared" si="5"/>
        <v>0</v>
      </c>
      <c r="X54" s="336">
        <v>54</v>
      </c>
      <c r="Y54" s="336" t="b">
        <f>IF('Personnel Yr 1'!$J$5&gt;3,IF(OR($N$5&lt;&gt;"Federal - NIH",OR(AND(ISBLANK(I54),ISBLANK(J54),ISBLANK(K54)),AND(I54="",J54="",K54=""))),FALSE,IF(I54&gt;0,H54&gt;NIHSalaryCap,H54&gt;(NIHSalaryCap*8.5)/12)),FALSE)</f>
        <v>0</v>
      </c>
    </row>
    <row r="55" spans="1:25" x14ac:dyDescent="0.2">
      <c r="A55" s="5">
        <v>12</v>
      </c>
      <c r="B55" s="6" t="str">
        <f>IF('Personnel Yr 1'!$J$5&gt;3,IF(NOT(OR(ISBLANK('Personnel Yr 3'!B55),'Personnel Yr 3'!B55="")),'Personnel Yr 3'!B55,""),"")</f>
        <v/>
      </c>
      <c r="C55" s="22" t="str">
        <f>IF('Personnel Yr 1'!$J$5&gt;3,IF(ISBLANK('Personnel Yr 3'!C55),"",'Personnel Yr 3'!C55),"")</f>
        <v/>
      </c>
      <c r="D55" s="22" t="str">
        <f>IF('Personnel Yr 1'!$J$5&gt;3,IF(ISBLANK('Personnel Yr 3'!D55),"",'Personnel Yr 3'!D55),"")</f>
        <v/>
      </c>
      <c r="E55" s="22" t="str">
        <f>IF('Personnel Yr 1'!$J$5&gt;3,IF(ISBLANK('Personnel Yr 3'!E55),"",'Personnel Yr 3'!E55),"")</f>
        <v/>
      </c>
      <c r="F55" s="22" t="str">
        <f>IF('Personnel Yr 1'!$J$5&gt;3,IF(ISBLANK('Personnel Yr 3'!F55),"",'Personnel Yr 3'!F55),"")</f>
        <v/>
      </c>
      <c r="G55" s="22" t="str">
        <f>IF('Personnel Yr 1'!$J$5&gt;3,IF(ISBLANK('Personnel Yr 3'!G55),"",'Personnel Yr 3'!G55),"")</f>
        <v/>
      </c>
      <c r="H55" s="42" t="str">
        <f>IF('Personnel Yr 1'!$J$5&gt;3,IF(NOT(OR(ISBLANK('Personnel Yr 3'!H55),'Personnel Yr 3'!H55="")),(('Personnel Yr 3'!H55*'Personnel Yr 1'!$D$5)+'Personnel Yr 3'!H55),""),"")</f>
        <v/>
      </c>
      <c r="I55" s="22" t="str">
        <f>IF('Personnel Yr 1'!$J$5&gt;3,IF(AND(OR(ISBLANK(H55),H55=""),ISBLANK('Personnel Yr 3'!I55)),"",'Personnel Yr 3'!I55),"")</f>
        <v/>
      </c>
      <c r="J55" s="22" t="str">
        <f>IF('Personnel Yr 1'!$J$5&gt;3,IF(AND(OR(ISBLANK(I55),I55=""),ISBLANK('Personnel Yr 3'!J55)),"",'Personnel Yr 3'!J55),"")</f>
        <v/>
      </c>
      <c r="K55" s="22" t="str">
        <f>IF('Personnel Yr 1'!$J$5&gt;3,IF(AND(OR(ISBLANK(J55),J55=""),ISBLANK('Personnel Yr 3'!K55)),"",'Personnel Yr 3'!K55),"")</f>
        <v/>
      </c>
      <c r="L55" s="44" t="str">
        <f>IF('Personnel Yr 1'!$J$5&gt;3,IF(NOT(OR(ISBLANK(H55),H55="")), IF(OR(AND(ISBLANK(I55),ISBLANK(J55),ISBLANK(K55)),AND(I55="",J55="",K55="")),0, IF((AND((I55&gt;0),((J55+K55)&gt;0))),"Error", IF((I55&gt;0),ROUND((IF(AND('Personnel Yr 1'!$O$5&gt;0,H55&gt;'Personnel Yr 1'!$O$5),'Personnel Yr 1'!$O$5,H55)*(I55/12)),2),ROUND((IF(AND('Personnel Yr 1'!$O$5&gt;0,H55&gt;'Personnel Yr 1'!$O$5),'Personnel Yr 1'!$O$5,H55)*((J55+K55)/8.5)),2)))),""),"")</f>
        <v/>
      </c>
      <c r="M55" s="44" t="str">
        <f>IF('Personnel Yr 1'!$J$5&gt;3,IF(OR(ISBLANK(L55),L55=""),"",ROUND(SUM(T55:V55),2)),"")</f>
        <v/>
      </c>
      <c r="N55" s="51" t="str">
        <f>IF('Personnel Yr 1'!$J$5&gt;3,IF(OR(ISBLANK(M55),M55=""),"",ROUND(SUM(L55:M55),2)),"")</f>
        <v/>
      </c>
      <c r="O55" s="159"/>
      <c r="P55" s="336">
        <f>IF('Personnel Yr 1'!$J$5&gt;3,IF(NOT(OR(ISBLANK(I55),I55="")),(H55/12)*I55,""),0)</f>
        <v>0</v>
      </c>
      <c r="Q55" s="337">
        <f>IF('Personnel Yr 1'!$J$5&gt;3,IF(NOT(OR(ISBLANK(J55),J55="")),(H55/8.5)*J55,""),0)</f>
        <v>0</v>
      </c>
      <c r="R55" s="336">
        <f>IF('Personnel Yr 1'!$J$5&gt;3,IF(NOT(OR(ISBLANK(K55),K55="")),(H55/8.5)*K55,""),0)</f>
        <v>0</v>
      </c>
      <c r="T55" s="336">
        <f t="shared" si="3"/>
        <v>0</v>
      </c>
      <c r="U55" s="336">
        <f t="shared" si="4"/>
        <v>0</v>
      </c>
      <c r="V55" s="336">
        <f t="shared" si="5"/>
        <v>0</v>
      </c>
      <c r="X55" s="336">
        <v>55</v>
      </c>
      <c r="Y55" s="336" t="b">
        <f>IF('Personnel Yr 1'!$J$5&gt;3,IF(OR($N$5&lt;&gt;"Federal - NIH",OR(AND(ISBLANK(I55),ISBLANK(J55),ISBLANK(K55)),AND(I55="",J55="",K55=""))),FALSE,IF(I55&gt;0,H55&gt;NIHSalaryCap,H55&gt;(NIHSalaryCap*8.5)/12)),FALSE)</f>
        <v>0</v>
      </c>
    </row>
    <row r="56" spans="1:25" x14ac:dyDescent="0.2">
      <c r="A56" s="5">
        <v>13</v>
      </c>
      <c r="B56" s="75" t="str">
        <f>IF('Personnel Yr 1'!$J$5&gt;3,IF(NOT(OR(ISBLANK('Personnel Yr 3'!B56),'Personnel Yr 3'!B56="")),'Personnel Yr 3'!B56,""),"")</f>
        <v/>
      </c>
      <c r="C56" s="69" t="str">
        <f>IF('Personnel Yr 1'!$J$5&gt;3,IF(ISBLANK('Personnel Yr 3'!C56),"",'Personnel Yr 3'!C56),"")</f>
        <v/>
      </c>
      <c r="D56" s="69" t="str">
        <f>IF('Personnel Yr 1'!$J$5&gt;3,IF(ISBLANK('Personnel Yr 3'!D56),"",'Personnel Yr 3'!D56),"")</f>
        <v/>
      </c>
      <c r="E56" s="69" t="str">
        <f>IF('Personnel Yr 1'!$J$5&gt;3,IF(ISBLANK('Personnel Yr 3'!E56),"",'Personnel Yr 3'!E56),"")</f>
        <v/>
      </c>
      <c r="F56" s="69" t="str">
        <f>IF('Personnel Yr 1'!$J$5&gt;3,IF(ISBLANK('Personnel Yr 3'!F56),"",'Personnel Yr 3'!F56),"")</f>
        <v/>
      </c>
      <c r="G56" s="69" t="str">
        <f>IF('Personnel Yr 1'!$J$5&gt;3,IF(ISBLANK('Personnel Yr 3'!G56),"",'Personnel Yr 3'!G56),"")</f>
        <v/>
      </c>
      <c r="H56" s="42" t="str">
        <f>IF('Personnel Yr 1'!$J$5&gt;3,IF(NOT(OR(ISBLANK('Personnel Yr 3'!H56),'Personnel Yr 3'!H56="")),(('Personnel Yr 3'!H56*'Personnel Yr 1'!$D$5)+'Personnel Yr 3'!H56),""),"")</f>
        <v/>
      </c>
      <c r="I56" s="22" t="str">
        <f>IF('Personnel Yr 1'!$J$5&gt;3,IF(AND(OR(ISBLANK(H56),H56=""),ISBLANK('Personnel Yr 3'!I56)),"",'Personnel Yr 3'!I56),"")</f>
        <v/>
      </c>
      <c r="J56" s="22" t="str">
        <f>IF('Personnel Yr 1'!$J$5&gt;3,IF(AND(OR(ISBLANK(I56),I56=""),ISBLANK('Personnel Yr 3'!J56)),"",'Personnel Yr 3'!J56),"")</f>
        <v/>
      </c>
      <c r="K56" s="22" t="str">
        <f>IF('Personnel Yr 1'!$J$5&gt;3,IF(AND(OR(ISBLANK(J56),J56=""),ISBLANK('Personnel Yr 3'!K56)),"",'Personnel Yr 3'!K56),"")</f>
        <v/>
      </c>
      <c r="L56" s="44" t="str">
        <f>IF('Personnel Yr 1'!$J$5&gt;3,IF(NOT(OR(ISBLANK(H56),H56="")), IF(OR(AND(ISBLANK(I56),ISBLANK(J56),ISBLANK(K56)),AND(I56="",J56="",K56="")),0, IF((AND((I56&gt;0),((J56+K56)&gt;0))),"Error", IF((I56&gt;0),ROUND((IF(AND('Personnel Yr 1'!$O$5&gt;0,H56&gt;'Personnel Yr 1'!$O$5),'Personnel Yr 1'!$O$5,H56)*(I56/12)),2),ROUND((IF(AND('Personnel Yr 1'!$O$5&gt;0,H56&gt;'Personnel Yr 1'!$O$5),'Personnel Yr 1'!$O$5,H56)*((J56+K56)/8.5)),2)))),""),"")</f>
        <v/>
      </c>
      <c r="M56" s="49" t="str">
        <f>IF('Personnel Yr 1'!$J$5&gt;3,IF(OR(ISBLANK(L56),L56=""),"",ROUND(SUM(T56:V56),2)),"")</f>
        <v/>
      </c>
      <c r="N56" s="50" t="str">
        <f>IF('Personnel Yr 1'!$J$5&gt;3,IF(OR(ISBLANK(M56),M56=""),"",ROUND(SUM(L56:M56),2)),"")</f>
        <v/>
      </c>
      <c r="O56" s="182"/>
      <c r="P56" s="336">
        <f>IF('Personnel Yr 1'!$J$5&gt;3,IF(NOT(OR(ISBLANK(I56),I56="")),(H56/12)*I56,""),0)</f>
        <v>0</v>
      </c>
      <c r="Q56" s="337">
        <f>IF('Personnel Yr 1'!$J$5&gt;3,IF(NOT(OR(ISBLANK(J56),J56="")),(H56/8.5)*J56,""),0)</f>
        <v>0</v>
      </c>
      <c r="R56" s="336">
        <f>IF('Personnel Yr 1'!$J$5&gt;3,IF(NOT(OR(ISBLANK(K56),K56="")),(H56/8.5)*K56,""),0)</f>
        <v>0</v>
      </c>
      <c r="T56" s="336">
        <f t="shared" si="3"/>
        <v>0</v>
      </c>
      <c r="U56" s="336">
        <f t="shared" si="4"/>
        <v>0</v>
      </c>
      <c r="V56" s="336">
        <f t="shared" si="5"/>
        <v>0</v>
      </c>
      <c r="X56" s="336">
        <v>56</v>
      </c>
      <c r="Y56" s="336" t="b">
        <f>IF('Personnel Yr 1'!$J$5&gt;3,IF(OR($N$5&lt;&gt;"Federal - NIH",OR(AND(ISBLANK(I56),ISBLANK(J56),ISBLANK(K56)),AND(I56="",J56="",K56=""))),FALSE,IF(I56&gt;0,H56&gt;NIHSalaryCap,H56&gt;(NIHSalaryCap*8.5)/12)),FALSE)</f>
        <v>0</v>
      </c>
    </row>
    <row r="57" spans="1:25" x14ac:dyDescent="0.2">
      <c r="A57" s="5">
        <v>14</v>
      </c>
      <c r="B57" s="6" t="str">
        <f>IF('Personnel Yr 1'!$J$5&gt;3,IF(NOT(OR(ISBLANK('Personnel Yr 3'!B57),'Personnel Yr 3'!B57="")),'Personnel Yr 3'!B57,""),"")</f>
        <v/>
      </c>
      <c r="C57" s="22" t="str">
        <f>IF('Personnel Yr 1'!$J$5&gt;3,IF(ISBLANK('Personnel Yr 3'!C57),"",'Personnel Yr 3'!C57),"")</f>
        <v/>
      </c>
      <c r="D57" s="22" t="str">
        <f>IF('Personnel Yr 1'!$J$5&gt;3,IF(ISBLANK('Personnel Yr 3'!D57),"",'Personnel Yr 3'!D57),"")</f>
        <v/>
      </c>
      <c r="E57" s="22" t="str">
        <f>IF('Personnel Yr 1'!$J$5&gt;3,IF(ISBLANK('Personnel Yr 3'!E57),"",'Personnel Yr 3'!E57),"")</f>
        <v/>
      </c>
      <c r="F57" s="22" t="str">
        <f>IF('Personnel Yr 1'!$J$5&gt;3,IF(ISBLANK('Personnel Yr 3'!F57),"",'Personnel Yr 3'!F57),"")</f>
        <v/>
      </c>
      <c r="G57" s="22" t="str">
        <f>IF('Personnel Yr 1'!$J$5&gt;3,IF(ISBLANK('Personnel Yr 3'!G57),"",'Personnel Yr 3'!G57),"")</f>
        <v/>
      </c>
      <c r="H57" s="42" t="str">
        <f>IF('Personnel Yr 1'!$J$5&gt;3,IF(NOT(OR(ISBLANK('Personnel Yr 3'!H57),'Personnel Yr 3'!H57="")),(('Personnel Yr 3'!H57*'Personnel Yr 1'!$D$5)+'Personnel Yr 3'!H57),""),"")</f>
        <v/>
      </c>
      <c r="I57" s="22" t="str">
        <f>IF('Personnel Yr 1'!$J$5&gt;3,IF(AND(OR(ISBLANK(H57),H57=""),ISBLANK('Personnel Yr 3'!I57)),"",'Personnel Yr 3'!I57),"")</f>
        <v/>
      </c>
      <c r="J57" s="22" t="str">
        <f>IF('Personnel Yr 1'!$J$5&gt;3,IF(AND(OR(ISBLANK(I57),I57=""),ISBLANK('Personnel Yr 3'!J57)),"",'Personnel Yr 3'!J57),"")</f>
        <v/>
      </c>
      <c r="K57" s="22" t="str">
        <f>IF('Personnel Yr 1'!$J$5&gt;3,IF(AND(OR(ISBLANK(J57),J57=""),ISBLANK('Personnel Yr 3'!K57)),"",'Personnel Yr 3'!K57),"")</f>
        <v/>
      </c>
      <c r="L57" s="44" t="str">
        <f>IF('Personnel Yr 1'!$J$5&gt;3,IF(NOT(OR(ISBLANK(H57),H57="")), IF(OR(AND(ISBLANK(I57),ISBLANK(J57),ISBLANK(K57)),AND(I57="",J57="",K57="")),0, IF((AND((I57&gt;0),((J57+K57)&gt;0))),"Error", IF((I57&gt;0),ROUND((IF(AND('Personnel Yr 1'!$O$5&gt;0,H57&gt;'Personnel Yr 1'!$O$5),'Personnel Yr 1'!$O$5,H57)*(I57/12)),2),ROUND((IF(AND('Personnel Yr 1'!$O$5&gt;0,H57&gt;'Personnel Yr 1'!$O$5),'Personnel Yr 1'!$O$5,H57)*((J57+K57)/8.5)),2)))),""),"")</f>
        <v/>
      </c>
      <c r="M57" s="44" t="str">
        <f>IF('Personnel Yr 1'!$J$5&gt;3,IF(OR(ISBLANK(L57),L57=""),"",ROUND(SUM(T57:V57),2)),"")</f>
        <v/>
      </c>
      <c r="N57" s="51" t="str">
        <f>IF('Personnel Yr 1'!$J$5&gt;3,IF(OR(ISBLANK(M57),M57=""),"",ROUND(SUM(L57:M57),2)),"")</f>
        <v/>
      </c>
      <c r="O57" s="157"/>
      <c r="P57" s="336">
        <f>IF('Personnel Yr 1'!$J$5&gt;3,IF(NOT(OR(ISBLANK(I57),I57="")),(H57/12)*I57,""),0)</f>
        <v>0</v>
      </c>
      <c r="Q57" s="337">
        <f>IF('Personnel Yr 1'!$J$5&gt;3,IF(NOT(OR(ISBLANK(J57),J57="")),(H57/8.5)*J57,""),0)</f>
        <v>0</v>
      </c>
      <c r="R57" s="336">
        <f>IF('Personnel Yr 1'!$J$5&gt;3,IF(NOT(OR(ISBLANK(K57),K57="")),(H57/8.5)*K57,""),0)</f>
        <v>0</v>
      </c>
      <c r="T57" s="336">
        <f t="shared" si="3"/>
        <v>0</v>
      </c>
      <c r="U57" s="336">
        <f t="shared" si="4"/>
        <v>0</v>
      </c>
      <c r="V57" s="336">
        <f t="shared" si="5"/>
        <v>0</v>
      </c>
      <c r="X57" s="336">
        <v>57</v>
      </c>
      <c r="Y57" s="336" t="b">
        <f>IF('Personnel Yr 1'!$J$5&gt;3,IF(OR($N$5&lt;&gt;"Federal - NIH",OR(AND(ISBLANK(I57),ISBLANK(J57),ISBLANK(K57)),AND(I57="",J57="",K57=""))),FALSE,IF(I57&gt;0,H57&gt;NIHSalaryCap,H57&gt;(NIHSalaryCap*8.5)/12)),FALSE)</f>
        <v>0</v>
      </c>
    </row>
    <row r="58" spans="1:25" ht="13.5" thickBot="1" x14ac:dyDescent="0.25">
      <c r="A58" s="5">
        <v>15</v>
      </c>
      <c r="B58" s="175" t="str">
        <f>IF('Personnel Yr 1'!$J$5&gt;3,IF(NOT(OR(ISBLANK('Personnel Yr 3'!B58),'Personnel Yr 3'!B58="")),'Personnel Yr 3'!B58,""),"")</f>
        <v/>
      </c>
      <c r="C58" s="29" t="str">
        <f>IF('Personnel Yr 1'!$J$5&gt;3,IF(ISBLANK('Personnel Yr 3'!C58),"",'Personnel Yr 3'!C58),"")</f>
        <v/>
      </c>
      <c r="D58" s="29" t="str">
        <f>IF('Personnel Yr 1'!$J$5&gt;3,IF(ISBLANK('Personnel Yr 3'!D58),"",'Personnel Yr 3'!D58),"")</f>
        <v/>
      </c>
      <c r="E58" s="29" t="str">
        <f>IF('Personnel Yr 1'!$J$5&gt;3,IF(ISBLANK('Personnel Yr 3'!E58),"",'Personnel Yr 3'!E58),"")</f>
        <v/>
      </c>
      <c r="F58" s="29" t="str">
        <f>IF('Personnel Yr 1'!$J$5&gt;3,IF(ISBLANK('Personnel Yr 3'!F58),"",'Personnel Yr 3'!F58),"")</f>
        <v/>
      </c>
      <c r="G58" s="179" t="str">
        <f>IF('Personnel Yr 1'!$J$5&gt;3,IF(ISBLANK('Personnel Yr 3'!G58),"",'Personnel Yr 3'!G58),"")</f>
        <v/>
      </c>
      <c r="H58" s="43" t="str">
        <f>IF('Personnel Yr 1'!$J$5&gt;3,IF(NOT(OR(ISBLANK('Personnel Yr 3'!H58),'Personnel Yr 3'!H58="")),(('Personnel Yr 3'!H58*'Personnel Yr 1'!$D$5)+'Personnel Yr 3'!H58),""),"")</f>
        <v/>
      </c>
      <c r="I58" s="29" t="str">
        <f>IF('Personnel Yr 1'!$J$5&gt;3,IF(AND(OR(ISBLANK(H58),H58=""),ISBLANK('Personnel Yr 3'!I58)),"",'Personnel Yr 3'!I58),"")</f>
        <v/>
      </c>
      <c r="J58" s="29" t="str">
        <f>IF('Personnel Yr 1'!$J$5&gt;3,IF(AND(OR(ISBLANK(I58),I58=""),ISBLANK('Personnel Yr 3'!J58)),"",'Personnel Yr 3'!J58),"")</f>
        <v/>
      </c>
      <c r="K58" s="29" t="str">
        <f>IF('Personnel Yr 1'!$J$5&gt;3,IF(AND(OR(ISBLANK(J58),J58=""),ISBLANK('Personnel Yr 3'!K58)),"",'Personnel Yr 3'!K58),"")</f>
        <v/>
      </c>
      <c r="L58" s="52" t="str">
        <f>IF('Personnel Yr 1'!$J$5&gt;3,IF(NOT(OR(ISBLANK(H58),H58="")), IF(OR(AND(ISBLANK(I58),ISBLANK(J58),ISBLANK(K58)),AND(I58="",J58="",K58="")),0, IF((AND((I58&gt;0),((J58+K58)&gt;0))),"Error", IF((I58&gt;0),ROUND((IF(AND('Personnel Yr 1'!$O$5&gt;0,H58&gt;'Personnel Yr 1'!$O$5),'Personnel Yr 1'!$O$5,H58)*(I58/12)),2),ROUND((IF(AND('Personnel Yr 1'!$O$5&gt;0,H58&gt;'Personnel Yr 1'!$O$5),'Personnel Yr 1'!$O$5,H58)*((J58+K58)/8.5)),2)))),""),"")</f>
        <v/>
      </c>
      <c r="M58" s="180" t="str">
        <f>IF('Personnel Yr 1'!$J$5&gt;3,IF(OR(ISBLANK(L58),L58=""),"",ROUND(SUM(T58:V58),2)),"")</f>
        <v/>
      </c>
      <c r="N58" s="181" t="str">
        <f>IF('Personnel Yr 1'!$J$5&gt;3,IF(OR(ISBLANK(M58),M58=""),"",ROUND(SUM(L58:M58),2)),"")</f>
        <v/>
      </c>
      <c r="O58" s="161"/>
      <c r="P58" s="336">
        <f>IF('Personnel Yr 1'!$J$5&gt;3,IF(NOT(OR(ISBLANK(I58),I58="")),(H58/12)*I58,""),0)</f>
        <v>0</v>
      </c>
      <c r="Q58" s="337">
        <f>IF('Personnel Yr 1'!$J$5&gt;3,IF(NOT(OR(ISBLANK(J58),J58="")),(H58/8.5)*J58,""),0)</f>
        <v>0</v>
      </c>
      <c r="R58" s="336">
        <f>IF('Personnel Yr 1'!$J$5&gt;3,IF(NOT(OR(ISBLANK(K58),K58="")),(H58/8.5)*K58,""),0)</f>
        <v>0</v>
      </c>
      <c r="T58" s="336">
        <f t="shared" si="3"/>
        <v>0</v>
      </c>
      <c r="U58" s="336">
        <f t="shared" si="4"/>
        <v>0</v>
      </c>
      <c r="V58" s="336">
        <f t="shared" si="5"/>
        <v>0</v>
      </c>
      <c r="X58" s="336">
        <v>58</v>
      </c>
      <c r="Y58" s="336" t="b">
        <f>IF('Personnel Yr 1'!$J$5&gt;3,IF(OR($N$5&lt;&gt;"Federal - NIH",OR(AND(ISBLANK(I58),ISBLANK(J58),ISBLANK(K58)),AND(I58="",J58="",K58=""))),FALSE,IF(I58&gt;0,H58&gt;NIHSalaryCap,H58&gt;(NIHSalaryCap*8.5)/12)),FALSE)</f>
        <v>0</v>
      </c>
    </row>
    <row r="59" spans="1:25" ht="13.5" thickBot="1" x14ac:dyDescent="0.25">
      <c r="B59" s="27">
        <f>ROWS(E44:E58)-COUNTIF(E44:E58,"")</f>
        <v>0</v>
      </c>
      <c r="N59" s="56">
        <f>SUM(N44:N58)</f>
        <v>0</v>
      </c>
      <c r="P59" s="336">
        <f>SUM(P44:P58)</f>
        <v>0</v>
      </c>
      <c r="Q59" s="336">
        <f t="shared" ref="Q59:V59" si="6">SUM(Q44:Q58)</f>
        <v>0</v>
      </c>
      <c r="R59" s="336">
        <f t="shared" si="6"/>
        <v>0</v>
      </c>
      <c r="S59" s="336">
        <f t="shared" si="6"/>
        <v>0</v>
      </c>
      <c r="T59" s="336">
        <f t="shared" si="6"/>
        <v>0</v>
      </c>
      <c r="U59" s="336">
        <f t="shared" si="6"/>
        <v>0</v>
      </c>
      <c r="V59" s="336">
        <f t="shared" si="6"/>
        <v>0</v>
      </c>
    </row>
  </sheetData>
  <sheetProtection algorithmName="SHA-512" hashValue="mVG3JDjZSfw48DUWI/gW3eruLzioGqbKbZtIJ9uMCnsAJG1opSFD3iP67cCnMnKGmDu0zqec+n2dpYn3zALj3g==" saltValue="gE+ze5ujwZRrtJg9Gg0Hqg==" spinCount="100000" sheet="1" objects="1" scenarios="1"/>
  <mergeCells count="23">
    <mergeCell ref="A1:N1"/>
    <mergeCell ref="B5:C5"/>
    <mergeCell ref="C15:F15"/>
    <mergeCell ref="J16:M16"/>
    <mergeCell ref="G15:M15"/>
    <mergeCell ref="B19:C19"/>
    <mergeCell ref="D19:K19"/>
    <mergeCell ref="A3:N3"/>
    <mergeCell ref="C21:H21"/>
    <mergeCell ref="C24:H24"/>
    <mergeCell ref="C22:H22"/>
    <mergeCell ref="C16:F16"/>
    <mergeCell ref="C23:F23"/>
    <mergeCell ref="B42:D42"/>
    <mergeCell ref="H33:L34"/>
    <mergeCell ref="H35:L39"/>
    <mergeCell ref="I30:M30"/>
    <mergeCell ref="C25:H25"/>
    <mergeCell ref="C26:H26"/>
    <mergeCell ref="C29:F29"/>
    <mergeCell ref="I29:M29"/>
    <mergeCell ref="C27:H27"/>
    <mergeCell ref="C28:H28"/>
  </mergeCells>
  <phoneticPr fontId="5" type="noConversion"/>
  <conditionalFormatting sqref="L21:L26">
    <cfRule type="cellIs" dxfId="17" priority="29" stopIfTrue="1" operator="lessThan">
      <formula>1</formula>
    </cfRule>
  </conditionalFormatting>
  <conditionalFormatting sqref="H23">
    <cfRule type="cellIs" dxfId="16" priority="30" stopIfTrue="1" operator="equal">
      <formula>""</formula>
    </cfRule>
  </conditionalFormatting>
  <conditionalFormatting sqref="L27:L28">
    <cfRule type="cellIs" dxfId="15" priority="27" stopIfTrue="1" operator="lessThan">
      <formula>1</formula>
    </cfRule>
  </conditionalFormatting>
  <conditionalFormatting sqref="H7:H14">
    <cfRule type="expression" dxfId="14" priority="2">
      <formula>$Y$7</formula>
    </cfRule>
  </conditionalFormatting>
  <conditionalFormatting sqref="H44:H58">
    <cfRule type="expression" dxfId="13" priority="1">
      <formula>$Y$7</formula>
    </cfRule>
  </conditionalFormatting>
  <dataValidations count="3">
    <dataValidation type="list" allowBlank="1" showInputMessage="1" showErrorMessage="1" sqref="H23" xr:uid="{00000000-0002-0000-0400-000000000000}">
      <formula1>Grad</formula1>
    </dataValidation>
    <dataValidation type="list" allowBlank="1" showInputMessage="1" showErrorMessage="1" sqref="B7:B14 B44:B58" xr:uid="{00000000-0002-0000-0400-000001000000}">
      <formula1>Prefix</formula1>
    </dataValidation>
    <dataValidation type="list" allowBlank="1" showInputMessage="1" showErrorMessage="1" sqref="G7:G14 G44:G58" xr:uid="{00000000-0002-0000-0400-000002000000}">
      <formula1>Roles</formula1>
    </dataValidation>
  </dataValidations>
  <printOptions horizontalCentered="1"/>
  <pageMargins left="0.25" right="0.25" top="0.5" bottom="0.5" header="0.5" footer="0.5"/>
  <pageSetup scale="91" orientation="landscape" r:id="rId1"/>
  <headerFooter alignWithMargins="0">
    <oddFooter>&amp;RPrinted On: &amp;D &amp;T</oddFooter>
  </headerFooter>
  <colBreaks count="1" manualBreakCount="1">
    <brk id="14" max="1048575" man="1"/>
  </colBreaks>
  <ignoredErrors>
    <ignoredError sqref="N17:N20 B26:G26 H26 I26:K26 L29:L30 N25 N7:N14 N21:N24 H21:H25 B7:G14 L21:L22 M21:M24 B21:G22 I21:K25 L15:L20 I15:K20 B17:G20 M15:M20 H15:H20 N30 I29:K30 H29:H30 B29:G30 M29:M30 B45:G58 C15:G16 L26:L28 B44:G44 M44:N44 M45:N58 B24:G24 B23:C23 G23 L24:L25 B25 D25:G25" unlockedFormula="1"/>
    <ignoredError sqref="M25" formula="1" unlockedFormula="1"/>
    <ignoredError sqref="G35" evalError="1"/>
  </ignoredErrors>
  <extLst>
    <ext xmlns:x14="http://schemas.microsoft.com/office/spreadsheetml/2009/9/main" uri="{78C0D931-6437-407d-A8EE-F0AAD7539E65}">
      <x14:conditionalFormattings>
        <x14:conditionalFormatting xmlns:xm="http://schemas.microsoft.com/office/excel/2006/main">
          <x14:cfRule type="expression" priority="26" id="{5B2322C6-98D2-4054-AAB5-FAC2CC42DEF8}">
            <xm:f>IF('Personnel Yr 1'!N5="Federal - NIH",SUM('Non-personnel'!$N$41,$N$23)/IF(OR(ISBLANK($B$23),NOT(ISNUMBER($B$23))),1,$B$23)&gt;NIHGradLimit)</xm:f>
            <x14:dxf>
              <fill>
                <patternFill>
                  <bgColor rgb="FFFFFF00"/>
                </patternFill>
              </fill>
            </x14:dxf>
          </x14:cfRule>
          <xm:sqref>N23</xm:sqref>
        </x14:conditionalFormatting>
      </x14:conditionalFormattings>
    </ext>
    <ext xmlns:x14="http://schemas.microsoft.com/office/spreadsheetml/2009/9/main" uri="{CCE6A557-97BC-4b89-ADB6-D9C93CAAB3DF}">
      <x14:dataValidations xmlns:xm="http://schemas.microsoft.com/office/excel/2006/main" count="2">
        <x14:dataValidation type="custom" errorStyle="information" allowBlank="1" showInputMessage="1" showErrorMessage="1" errorTitle="Salary Cap Error" error="Base salary should remain under $185,100 for calandar appointments and $131,112 for academic appointments." xr:uid="{00000000-0002-0000-0400-000003000000}">
          <x14:formula1>
            <xm:f>IF(AND('Personnel Yr 1'!$N$5="Federal - NIH",OR(NOT(ISBLANK($I7)),NOT(ISBLANK($J7)),NOT(ISBLANK($K7)),$I7&lt;&gt;"",$J7&lt;&gt;"",$K7&lt;&gt;"")),IF($I7&gt;0,$H7&lt;=NIHSalaryCap,$H7&lt;=(NIHSalaryCap*8.5)/12),TRUE)</xm:f>
          </x14:formula1>
          <xm:sqref>H7:K14 H44:K58</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400-000004000000}">
          <x14:formula1>
            <xm:f>OR(AND('Personnel Yr 1'!N5="Federal - NIH",SUM('Non-personnel'!$N$41,$N$23)/IF(OR(ISBLANK(B23),NOT(ISNUMBER(B23))),1,B23)&lt;=NIHGradLimit),'Personnel Yr 1'!N5&lt;&gt;"Federal - NIH")</xm:f>
          </x14:formula1>
          <xm:sqref>L23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C59"/>
  <sheetViews>
    <sheetView zoomScaleNormal="100" workbookViewId="0">
      <selection activeCell="E39" sqref="E39"/>
    </sheetView>
  </sheetViews>
  <sheetFormatPr defaultRowHeight="12.75" x14ac:dyDescent="0.2"/>
  <cols>
    <col min="1" max="1" width="3" bestFit="1" customWidth="1"/>
    <col min="2" max="2" width="6.5703125" customWidth="1"/>
    <col min="3" max="3" width="18.7109375" customWidth="1"/>
    <col min="4" max="4" width="9.28515625" customWidth="1"/>
    <col min="5" max="5" width="18.7109375" customWidth="1"/>
    <col min="6" max="6" width="6.28515625" customWidth="1"/>
    <col min="7" max="7" width="18.85546875" customWidth="1"/>
    <col min="8" max="8" width="10.5703125" customWidth="1"/>
    <col min="9" max="11" width="7.42578125" customWidth="1"/>
    <col min="12" max="14" width="10.5703125" customWidth="1"/>
    <col min="15" max="15" width="72.140625" customWidth="1"/>
    <col min="16" max="25" width="9.140625" style="336"/>
    <col min="26" max="29" width="9.140625" style="338"/>
  </cols>
  <sheetData>
    <row r="1" spans="1:25" ht="18" x14ac:dyDescent="0.25">
      <c r="A1" s="561" t="s">
        <v>507</v>
      </c>
      <c r="B1" s="561"/>
      <c r="C1" s="561"/>
      <c r="D1" s="561"/>
      <c r="E1" s="561"/>
      <c r="F1" s="561"/>
      <c r="G1" s="561"/>
      <c r="H1" s="561"/>
      <c r="I1" s="561"/>
      <c r="J1" s="561"/>
      <c r="K1" s="561"/>
      <c r="L1" s="561"/>
      <c r="M1" s="561"/>
      <c r="N1" s="561"/>
    </row>
    <row r="2" spans="1:25" x14ac:dyDescent="0.2">
      <c r="A2" s="1"/>
      <c r="B2" s="1"/>
      <c r="C2" s="1"/>
      <c r="D2" s="1"/>
      <c r="E2" s="1"/>
      <c r="F2" s="1"/>
      <c r="G2" s="1"/>
      <c r="H2" s="1"/>
      <c r="I2" s="1"/>
      <c r="J2" s="1"/>
      <c r="K2" s="1"/>
      <c r="L2" s="1"/>
      <c r="M2" s="1"/>
      <c r="N2" s="1"/>
    </row>
    <row r="3" spans="1:25" ht="18" x14ac:dyDescent="0.25">
      <c r="A3" s="561" t="s">
        <v>81</v>
      </c>
      <c r="B3" s="561"/>
      <c r="C3" s="561"/>
      <c r="D3" s="561"/>
      <c r="E3" s="561"/>
      <c r="F3" s="561"/>
      <c r="G3" s="561"/>
      <c r="H3" s="561"/>
      <c r="I3" s="561"/>
      <c r="J3" s="561"/>
      <c r="K3" s="561"/>
      <c r="L3" s="561"/>
      <c r="M3" s="561"/>
      <c r="N3" s="561"/>
    </row>
    <row r="4" spans="1:25" ht="18" x14ac:dyDescent="0.25">
      <c r="A4" s="63"/>
      <c r="B4" s="63"/>
      <c r="C4" s="63"/>
      <c r="D4" s="63"/>
      <c r="E4" s="63"/>
      <c r="F4" s="63"/>
      <c r="G4" s="63"/>
      <c r="H4" s="63"/>
      <c r="I4" s="63"/>
      <c r="J4" s="63"/>
      <c r="K4" s="63"/>
      <c r="L4" s="63"/>
      <c r="M4" s="63"/>
      <c r="N4" s="63"/>
    </row>
    <row r="5" spans="1:25" ht="12.75" customHeight="1" x14ac:dyDescent="0.2">
      <c r="A5" s="2"/>
      <c r="B5" s="562" t="s">
        <v>5</v>
      </c>
      <c r="C5" s="562"/>
      <c r="D5" s="2"/>
      <c r="E5" s="2"/>
      <c r="F5" s="2"/>
      <c r="G5" s="2"/>
      <c r="H5" s="2"/>
      <c r="I5" s="2"/>
      <c r="J5" s="2"/>
      <c r="K5" s="2"/>
      <c r="L5" s="2"/>
      <c r="M5" s="2"/>
      <c r="N5" s="347" t="str">
        <f>'Personnel Yr 4'!N5</f>
        <v>Fnd/Prof Soc</v>
      </c>
      <c r="O5" s="9"/>
    </row>
    <row r="6" spans="1:25" ht="26.25" thickBot="1" x14ac:dyDescent="0.25">
      <c r="A6" s="2"/>
      <c r="B6" s="4" t="s">
        <v>0</v>
      </c>
      <c r="C6" s="3" t="s">
        <v>1</v>
      </c>
      <c r="D6" s="3" t="s">
        <v>2</v>
      </c>
      <c r="E6" s="3" t="s">
        <v>3</v>
      </c>
      <c r="F6" s="3" t="s">
        <v>4</v>
      </c>
      <c r="G6" s="3" t="s">
        <v>42</v>
      </c>
      <c r="H6" s="3" t="s">
        <v>43</v>
      </c>
      <c r="I6" s="3" t="s">
        <v>60</v>
      </c>
      <c r="J6" s="3" t="s">
        <v>61</v>
      </c>
      <c r="K6" s="3" t="s">
        <v>62</v>
      </c>
      <c r="L6" s="4" t="s">
        <v>44</v>
      </c>
      <c r="M6" s="3" t="s">
        <v>45</v>
      </c>
      <c r="N6" s="3" t="s">
        <v>41</v>
      </c>
      <c r="O6" s="3" t="s">
        <v>234</v>
      </c>
      <c r="P6" s="335" t="s">
        <v>66</v>
      </c>
      <c r="Q6" s="335" t="s">
        <v>67</v>
      </c>
      <c r="R6" s="335" t="s">
        <v>68</v>
      </c>
      <c r="T6" s="335" t="s">
        <v>66</v>
      </c>
      <c r="U6" s="335" t="s">
        <v>67</v>
      </c>
      <c r="V6" s="335" t="s">
        <v>68</v>
      </c>
      <c r="Y6" s="336" t="s">
        <v>464</v>
      </c>
    </row>
    <row r="7" spans="1:25" x14ac:dyDescent="0.2">
      <c r="A7" s="5">
        <v>1</v>
      </c>
      <c r="B7" s="75" t="str">
        <f>IF('Personnel Yr 1'!$J$5&gt;4,IF(NOT(OR(ISBLANK('Personnel Yr 4'!B7),'Personnel Yr 4'!B7="")),'Personnel Yr 4'!B7,""),"")</f>
        <v/>
      </c>
      <c r="C7" s="17" t="str">
        <f>IF('Personnel Yr 1'!$J$5&gt;4,IF(ISBLANK('Personnel Yr 4'!C7),"",'Personnel Yr 4'!C7),"")</f>
        <v/>
      </c>
      <c r="D7" s="17" t="str">
        <f>IF('Personnel Yr 1'!$J$5&gt;4,IF(ISBLANK('Personnel Yr 4'!D7),"",'Personnel Yr 4'!D7),"")</f>
        <v/>
      </c>
      <c r="E7" s="17" t="str">
        <f>IF('Personnel Yr 1'!$J$5&gt;4,IF(ISBLANK('Personnel Yr 4'!E7),"",'Personnel Yr 4'!E7),"")</f>
        <v/>
      </c>
      <c r="F7" s="17" t="str">
        <f>IF('Personnel Yr 1'!$J$5&gt;4,IF(ISBLANK('Personnel Yr 4'!F7),"",'Personnel Yr 4'!F7),"")</f>
        <v/>
      </c>
      <c r="G7" s="17" t="str">
        <f>IF('Personnel Yr 1'!$J$5&gt;4,IF(ISBLANK('Personnel Yr 4'!G7),"",'Personnel Yr 4'!G7),"")</f>
        <v/>
      </c>
      <c r="H7" s="177" t="str">
        <f>IF('Personnel Yr 1'!$J$5&gt;4,IF(NOT(OR(ISBLANK('Personnel Yr 4'!H7),'Personnel Yr 4'!H7="")),(('Personnel Yr 4'!H7*'Personnel Yr 1'!$D$5)+'Personnel Yr 4'!H7),""),"")</f>
        <v/>
      </c>
      <c r="I7" s="17" t="str">
        <f>IF('Personnel Yr 1'!$J$5&gt;4,IF(AND(OR(ISBLANK(H7),H7=""),ISBLANK('Personnel Yr 4'!I7)),"",'Personnel Yr 4'!I7),"")</f>
        <v/>
      </c>
      <c r="J7" s="17" t="str">
        <f>IF('Personnel Yr 1'!$J$5&gt;4,IF(AND(OR(ISBLANK(I7),I7=""),ISBLANK('Personnel Yr 4'!J7)),"",'Personnel Yr 4'!J7),"")</f>
        <v/>
      </c>
      <c r="K7" s="17" t="str">
        <f>IF('Personnel Yr 1'!$J$5&gt;4,IF(AND(OR(ISBLANK(J7),J7=""),ISBLANK('Personnel Yr 4'!K7)),"",'Personnel Yr 4'!K7),"")</f>
        <v/>
      </c>
      <c r="L7" s="45" t="str">
        <f>IF('Personnel Yr 1'!$J$5&gt;4,IF(NOT(OR(ISBLANK(H7),H7="")), IF(OR(AND(ISBLANK(I7),ISBLANK(J7),ISBLANK(K7)),AND(I7="",J7="",K7="")),0, IF((AND((I7&gt;0),((J7+K7)&gt;0))),"Error", IF((I7&gt;0),ROUND((IF(AND('Personnel Yr 1'!$O$5&gt;0,H7&gt;'Personnel Yr 1'!$O$5),'Personnel Yr 1'!$O$5,H7)*(I7/12)),2),ROUND((IF(AND('Personnel Yr 1'!$O$5&gt;0,H7&gt;'Personnel Yr 1'!$O$5),'Personnel Yr 1'!$O$5,H7)*((J7+K7)/8.5)),2)))),""),"")</f>
        <v/>
      </c>
      <c r="M7" s="45" t="str">
        <f>IF('Personnel Yr 1'!$J$5&gt;4,IF(OR(ISBLANK(L7),L7=""),"",ROUND(SUM(T7:V7),2)),"")</f>
        <v/>
      </c>
      <c r="N7" s="46" t="str">
        <f>IF('Personnel Yr 1'!$J$5&gt;4,IF(OR(ISBLANK(M7),M7=""),"",ROUND(SUM(L7:M7),2)),"")</f>
        <v/>
      </c>
      <c r="O7" s="158"/>
      <c r="P7" s="336">
        <f>IF('Personnel Yr 1'!$J$5&gt;4,IF(NOT(OR(ISBLANK(I7),I7="")),(H7/12)*I7,""),0)</f>
        <v>0</v>
      </c>
      <c r="Q7" s="336">
        <f>IF('Personnel Yr 1'!$J$5&gt;4,IF(NOT(OR(ISBLANK(J7),J7="")),(H7/8.5)*J7,""),0)</f>
        <v>0</v>
      </c>
      <c r="R7" s="336">
        <f>IF('Personnel Yr 1'!$J$5&gt;4,IF(NOT(OR(ISBLANK(K7),K7="")),(H7/8.5)*K7,""),0)</f>
        <v>0</v>
      </c>
      <c r="T7" s="347">
        <f>IF(OR(ISBLANK(P7),P7=""),0,P7*LOOKUP("Full",Ben,Per))</f>
        <v>0</v>
      </c>
      <c r="U7" s="347">
        <f>IF(OR(ISBLANK(Q7),Q7=""),0,Q7*LOOKUP("Full",Ben,Per))</f>
        <v>0</v>
      </c>
      <c r="V7" s="347">
        <f>IF(OR(ISBLANK(R7),R7=""),0,R7*LOOKUP("Summer",Ben,Per))</f>
        <v>0</v>
      </c>
      <c r="X7" s="336">
        <v>7</v>
      </c>
      <c r="Y7" s="336" t="b">
        <f>IF('Personnel Yr 1'!$J$5&gt;4,IF(OR($N$5&lt;&gt;"Federal - NIH",OR(AND(ISBLANK(I7),ISBLANK(J7),ISBLANK(K7)),AND(I7="",J7="",K7=""))),FALSE,IF(I7&gt;0,H7&gt;NIHSalaryCap,H7&gt;(NIHSalaryCap*8.5)/12)),FALSE)</f>
        <v>0</v>
      </c>
    </row>
    <row r="8" spans="1:25" x14ac:dyDescent="0.2">
      <c r="A8" s="5">
        <v>2</v>
      </c>
      <c r="B8" s="6" t="str">
        <f>IF('Personnel Yr 1'!$J$5&gt;4,IF(NOT(OR(ISBLANK('Personnel Yr 4'!B8),'Personnel Yr 4'!B8="")),'Personnel Yr 4'!B8,""),"")</f>
        <v/>
      </c>
      <c r="C8" s="22" t="str">
        <f>IF('Personnel Yr 1'!$J$5&gt;4,IF(ISBLANK('Personnel Yr 4'!C8),"",'Personnel Yr 4'!C8),"")</f>
        <v/>
      </c>
      <c r="D8" s="22" t="str">
        <f>IF('Personnel Yr 1'!$J$5&gt;4,IF(ISBLANK('Personnel Yr 4'!D8),"",'Personnel Yr 4'!D8),"")</f>
        <v/>
      </c>
      <c r="E8" s="22" t="str">
        <f>IF('Personnel Yr 1'!$J$5&gt;4,IF(ISBLANK('Personnel Yr 4'!E8),"",'Personnel Yr 4'!E8),"")</f>
        <v/>
      </c>
      <c r="F8" s="22" t="str">
        <f>IF('Personnel Yr 1'!$J$5&gt;4,IF(ISBLANK('Personnel Yr 4'!F8),"",'Personnel Yr 4'!F8),"")</f>
        <v/>
      </c>
      <c r="G8" s="22" t="str">
        <f>IF('Personnel Yr 1'!$J$5&gt;4,IF(ISBLANK('Personnel Yr 4'!G8),"",'Personnel Yr 4'!G8),"")</f>
        <v/>
      </c>
      <c r="H8" s="42" t="str">
        <f>IF('Personnel Yr 1'!$J$5&gt;4,IF(NOT(OR(ISBLANK('Personnel Yr 4'!H8),'Personnel Yr 4'!H8="")),(('Personnel Yr 4'!H8*'Personnel Yr 1'!$D$5)+'Personnel Yr 4'!H8),""),"")</f>
        <v/>
      </c>
      <c r="I8" s="22" t="str">
        <f>IF('Personnel Yr 1'!$J$5&gt;4,IF(AND(OR(ISBLANK(H8),H8=""),ISBLANK('Personnel Yr 4'!I8)),"",'Personnel Yr 4'!I8),"")</f>
        <v/>
      </c>
      <c r="J8" s="22" t="str">
        <f>IF('Personnel Yr 1'!$J$5&gt;4,IF(AND(OR(ISBLANK(I8),I8=""),ISBLANK('Personnel Yr 4'!J8)),"",'Personnel Yr 4'!J8),"")</f>
        <v/>
      </c>
      <c r="K8" s="22" t="str">
        <f>IF('Personnel Yr 1'!$J$5&gt;4,IF(AND(OR(ISBLANK(J8),J8=""),ISBLANK('Personnel Yr 4'!K8)),"",'Personnel Yr 4'!K8),"")</f>
        <v/>
      </c>
      <c r="L8" s="44" t="str">
        <f>IF('Personnel Yr 1'!$J$5&gt;4,IF(NOT(OR(ISBLANK(H8),H8="")), IF(OR(AND(ISBLANK(I8),ISBLANK(J8),ISBLANK(K8)),AND(I8="",J8="",K8="")),0, IF((AND((I8&gt;0),((J8+K8)&gt;0))),"Error", IF((I8&gt;0),ROUND((IF(AND('Personnel Yr 1'!$O$5&gt;0,H8&gt;'Personnel Yr 1'!$O$5),'Personnel Yr 1'!$O$5,H8)*(I8/12)),2),ROUND((IF(AND('Personnel Yr 1'!$O$5&gt;0,H8&gt;'Personnel Yr 1'!$O$5),'Personnel Yr 1'!$O$5,H8)*((J8+K8)/8.5)),2)))),""),"")</f>
        <v/>
      </c>
      <c r="M8" s="44" t="str">
        <f>IF('Personnel Yr 1'!$J$5&gt;4,IF(OR(ISBLANK(L8),L8=""),"",ROUND(SUM(T8:V8),2)),"")</f>
        <v/>
      </c>
      <c r="N8" s="51" t="str">
        <f>IF('Personnel Yr 1'!$J$5&gt;4,IF(OR(ISBLANK(M8),M8=""),"",ROUND(SUM(L8:M8),2)),"")</f>
        <v/>
      </c>
      <c r="O8" s="159"/>
      <c r="P8" s="336">
        <f>IF('Personnel Yr 1'!$J$5&gt;4,IF(NOT(OR(ISBLANK(I8),I8="")),(H8/12)*I8,""),0)</f>
        <v>0</v>
      </c>
      <c r="Q8" s="336">
        <f>IF('Personnel Yr 1'!$J$5&gt;4,IF(NOT(OR(ISBLANK(J8),J8="")),(H8/8.5)*J8,""),0)</f>
        <v>0</v>
      </c>
      <c r="R8" s="336">
        <f>IF('Personnel Yr 1'!$J$5&gt;4,IF(NOT(OR(ISBLANK(K8),K8="")),(H8/8.5)*K8,""),0)</f>
        <v>0</v>
      </c>
      <c r="T8" s="347">
        <f t="shared" ref="T8:U14" si="0">IF(OR(ISBLANK(P8),P8=""),0,P8*LOOKUP("Full",Ben,Per))</f>
        <v>0</v>
      </c>
      <c r="U8" s="347">
        <f t="shared" si="0"/>
        <v>0</v>
      </c>
      <c r="V8" s="347">
        <f t="shared" ref="V8:V14" si="1">IF(OR(ISBLANK(R8),R8=""),0,R8*LOOKUP("Summer",Ben,Per))</f>
        <v>0</v>
      </c>
      <c r="X8" s="336">
        <v>8</v>
      </c>
      <c r="Y8" s="336" t="b">
        <f>IF('Personnel Yr 1'!$J$5&gt;4,IF(OR($N$5&lt;&gt;"Federal - NIH",OR(AND(ISBLANK(I8),ISBLANK(J8),ISBLANK(K8)),AND(I8="",J8="",K8=""))),FALSE,IF(I8&gt;0,H8&gt;NIHSalaryCap,H8&gt;(NIHSalaryCap*8.5)/12)),FALSE)</f>
        <v>0</v>
      </c>
    </row>
    <row r="9" spans="1:25" x14ac:dyDescent="0.2">
      <c r="A9" s="5">
        <v>3</v>
      </c>
      <c r="B9" s="6" t="str">
        <f>IF('Personnel Yr 1'!$J$5&gt;4,IF(NOT(OR(ISBLANK('Personnel Yr 4'!B9),'Personnel Yr 4'!B9="")),'Personnel Yr 4'!B9,""),"")</f>
        <v/>
      </c>
      <c r="C9" s="22" t="str">
        <f>IF('Personnel Yr 1'!$J$5&gt;4,IF(ISBLANK('Personnel Yr 4'!C9),"",'Personnel Yr 4'!C9),"")</f>
        <v/>
      </c>
      <c r="D9" s="22" t="str">
        <f>IF('Personnel Yr 1'!$J$5&gt;4,IF(ISBLANK('Personnel Yr 4'!D9),"",'Personnel Yr 4'!D9),"")</f>
        <v/>
      </c>
      <c r="E9" s="22" t="str">
        <f>IF('Personnel Yr 1'!$J$5&gt;4,IF(ISBLANK('Personnel Yr 4'!E9),"",'Personnel Yr 4'!E9),"")</f>
        <v/>
      </c>
      <c r="F9" s="22" t="str">
        <f>IF('Personnel Yr 1'!$J$5&gt;4,IF(ISBLANK('Personnel Yr 4'!F9),"",'Personnel Yr 4'!F9),"")</f>
        <v/>
      </c>
      <c r="G9" s="22" t="str">
        <f>IF('Personnel Yr 1'!$J$5&gt;4,IF(ISBLANK('Personnel Yr 4'!G9),"",'Personnel Yr 4'!G9),"")</f>
        <v/>
      </c>
      <c r="H9" s="42" t="str">
        <f>IF('Personnel Yr 1'!$J$5&gt;4,IF(NOT(OR(ISBLANK('Personnel Yr 4'!H9),'Personnel Yr 4'!H9="")),(('Personnel Yr 4'!H9*'Personnel Yr 1'!$D$5)+'Personnel Yr 4'!H9),""),"")</f>
        <v/>
      </c>
      <c r="I9" s="22" t="str">
        <f>IF('Personnel Yr 1'!$J$5&gt;4,IF(AND(OR(ISBLANK(H9),H9=""),ISBLANK('Personnel Yr 4'!I9)),"",'Personnel Yr 4'!I9),"")</f>
        <v/>
      </c>
      <c r="J9" s="22" t="str">
        <f>IF('Personnel Yr 1'!$J$5&gt;4,IF(AND(OR(ISBLANK(I9),I9=""),ISBLANK('Personnel Yr 4'!J9)),"",'Personnel Yr 4'!J9),"")</f>
        <v/>
      </c>
      <c r="K9" s="22" t="str">
        <f>IF('Personnel Yr 1'!$J$5&gt;4,IF(AND(OR(ISBLANK(J9),J9=""),ISBLANK('Personnel Yr 4'!K9)),"",'Personnel Yr 4'!K9),"")</f>
        <v/>
      </c>
      <c r="L9" s="44" t="str">
        <f>IF('Personnel Yr 1'!$J$5&gt;4,IF(NOT(OR(ISBLANK(H9),H9="")), IF(OR(AND(ISBLANK(I9),ISBLANK(J9),ISBLANK(K9)),AND(I9="",J9="",K9="")),0, IF((AND((I9&gt;0),((J9+K9)&gt;0))),"Error", IF((I9&gt;0),ROUND((IF(AND('Personnel Yr 1'!$O$5&gt;0,H9&gt;'Personnel Yr 1'!$O$5),'Personnel Yr 1'!$O$5,H9)*(I9/12)),2),ROUND((IF(AND('Personnel Yr 1'!$O$5&gt;0,H9&gt;'Personnel Yr 1'!$O$5),'Personnel Yr 1'!$O$5,H9)*((J9+K9)/8.5)),2)))),""),"")</f>
        <v/>
      </c>
      <c r="M9" s="44" t="str">
        <f>IF('Personnel Yr 1'!$J$5&gt;4,IF(OR(ISBLANK(L9),L9=""),"",ROUND(SUM(T9:V9),2)),"")</f>
        <v/>
      </c>
      <c r="N9" s="51" t="str">
        <f>IF('Personnel Yr 1'!$J$5&gt;4,IF(OR(ISBLANK(M9),M9=""),"",ROUND(SUM(L9:M9),2)),"")</f>
        <v/>
      </c>
      <c r="O9" s="157"/>
      <c r="P9" s="336">
        <f>IF('Personnel Yr 1'!$J$5&gt;4,IF(NOT(OR(ISBLANK(I9),I9="")),(H9/12)*I9,""),0)</f>
        <v>0</v>
      </c>
      <c r="Q9" s="336">
        <f>IF('Personnel Yr 1'!$J$5&gt;4,IF(NOT(OR(ISBLANK(J9),J9="")),(H9/8.5)*J9,""),0)</f>
        <v>0</v>
      </c>
      <c r="R9" s="336">
        <f>IF('Personnel Yr 1'!$J$5&gt;4,IF(NOT(OR(ISBLANK(K9),K9="")),(H9/8.5)*K9,""),0)</f>
        <v>0</v>
      </c>
      <c r="T9" s="347">
        <f t="shared" si="0"/>
        <v>0</v>
      </c>
      <c r="U9" s="347">
        <f t="shared" si="0"/>
        <v>0</v>
      </c>
      <c r="V9" s="347">
        <f t="shared" si="1"/>
        <v>0</v>
      </c>
      <c r="X9" s="336">
        <v>9</v>
      </c>
      <c r="Y9" s="336" t="b">
        <f>IF('Personnel Yr 1'!$J$5&gt;4,IF(OR($N$5&lt;&gt;"Federal - NIH",OR(AND(ISBLANK(I9),ISBLANK(J9),ISBLANK(K9)),AND(I9="",J9="",K9=""))),FALSE,IF(I9&gt;0,H9&gt;NIHSalaryCap,H9&gt;(NIHSalaryCap*8.5)/12)),FALSE)</f>
        <v>0</v>
      </c>
    </row>
    <row r="10" spans="1:25" x14ac:dyDescent="0.2">
      <c r="A10" s="5">
        <v>4</v>
      </c>
      <c r="B10" s="6" t="str">
        <f>IF('Personnel Yr 1'!$J$5&gt;4,IF(NOT(OR(ISBLANK('Personnel Yr 4'!B10),'Personnel Yr 4'!B10="")),'Personnel Yr 4'!B10,""),"")</f>
        <v/>
      </c>
      <c r="C10" s="22" t="str">
        <f>IF('Personnel Yr 1'!$J$5&gt;4,IF(ISBLANK('Personnel Yr 4'!C10),"",'Personnel Yr 4'!C10),"")</f>
        <v/>
      </c>
      <c r="D10" s="22" t="str">
        <f>IF('Personnel Yr 1'!$J$5&gt;4,IF(ISBLANK('Personnel Yr 4'!D10),"",'Personnel Yr 4'!D10),"")</f>
        <v/>
      </c>
      <c r="E10" s="22" t="str">
        <f>IF('Personnel Yr 1'!$J$5&gt;4,IF(ISBLANK('Personnel Yr 4'!E10),"",'Personnel Yr 4'!E10),"")</f>
        <v/>
      </c>
      <c r="F10" s="22" t="str">
        <f>IF('Personnel Yr 1'!$J$5&gt;4,IF(ISBLANK('Personnel Yr 4'!F10),"",'Personnel Yr 4'!F10),"")</f>
        <v/>
      </c>
      <c r="G10" s="22" t="str">
        <f>IF('Personnel Yr 1'!$J$5&gt;4,IF(ISBLANK('Personnel Yr 4'!G10),"",'Personnel Yr 4'!G10),"")</f>
        <v/>
      </c>
      <c r="H10" s="42" t="str">
        <f>IF('Personnel Yr 1'!$J$5&gt;4,IF(NOT(OR(ISBLANK('Personnel Yr 4'!H10),'Personnel Yr 4'!H10="")),(('Personnel Yr 4'!H10*'Personnel Yr 1'!$D$5)+'Personnel Yr 4'!H10),""),"")</f>
        <v/>
      </c>
      <c r="I10" s="22" t="str">
        <f>IF('Personnel Yr 1'!$J$5&gt;4,IF(AND(OR(ISBLANK(H10),H10=""),ISBLANK('Personnel Yr 4'!I10)),"",'Personnel Yr 4'!I10),"")</f>
        <v/>
      </c>
      <c r="J10" s="22" t="str">
        <f>IF('Personnel Yr 1'!$J$5&gt;4,IF(AND(OR(ISBLANK(I10),I10=""),ISBLANK('Personnel Yr 4'!J10)),"",'Personnel Yr 4'!J10),"")</f>
        <v/>
      </c>
      <c r="K10" s="22" t="str">
        <f>IF('Personnel Yr 1'!$J$5&gt;4,IF(AND(OR(ISBLANK(J10),J10=""),ISBLANK('Personnel Yr 4'!K10)),"",'Personnel Yr 4'!K10),"")</f>
        <v/>
      </c>
      <c r="L10" s="44" t="str">
        <f>IF('Personnel Yr 1'!$J$5&gt;4,IF(NOT(OR(ISBLANK(H10),H10="")), IF(OR(AND(ISBLANK(I10),ISBLANK(J10),ISBLANK(K10)),AND(I10="",J10="",K10="")),0, IF((AND((I10&gt;0),((J10+K10)&gt;0))),"Error", IF((I10&gt;0),ROUND((IF(AND('Personnel Yr 1'!$O$5&gt;0,H10&gt;'Personnel Yr 1'!$O$5),'Personnel Yr 1'!$O$5,H10)*(I10/12)),2),ROUND((IF(AND('Personnel Yr 1'!$O$5&gt;0,H10&gt;'Personnel Yr 1'!$O$5),'Personnel Yr 1'!$O$5,H10)*((J10+K10)/8.5)),2)))),""),"")</f>
        <v/>
      </c>
      <c r="M10" s="44" t="str">
        <f>IF('Personnel Yr 1'!$J$5&gt;4,IF(OR(ISBLANK(L10),L10=""),"",ROUND(SUM(T10:V10),2)),"")</f>
        <v/>
      </c>
      <c r="N10" s="51" t="str">
        <f>IF('Personnel Yr 1'!$J$5&gt;4,IF(OR(ISBLANK(M10),M10=""),"",ROUND(SUM(L10:M10),2)),"")</f>
        <v/>
      </c>
      <c r="O10" s="160"/>
      <c r="P10" s="336">
        <f>IF('Personnel Yr 1'!$J$5&gt;4,IF(NOT(OR(ISBLANK(I10),I10="")),(H10/12)*I10,""),0)</f>
        <v>0</v>
      </c>
      <c r="Q10" s="336">
        <f>IF('Personnel Yr 1'!$J$5&gt;4,IF(NOT(OR(ISBLANK(J10),J10="")),(H10/8.5)*J10,""),0)</f>
        <v>0</v>
      </c>
      <c r="R10" s="336">
        <f>IF('Personnel Yr 1'!$J$5&gt;4,IF(NOT(OR(ISBLANK(K10),K10="")),(H10/8.5)*K10,""),0)</f>
        <v>0</v>
      </c>
      <c r="T10" s="347">
        <f t="shared" si="0"/>
        <v>0</v>
      </c>
      <c r="U10" s="347">
        <f t="shared" si="0"/>
        <v>0</v>
      </c>
      <c r="V10" s="347">
        <f t="shared" si="1"/>
        <v>0</v>
      </c>
      <c r="X10" s="336">
        <v>10</v>
      </c>
      <c r="Y10" s="336" t="b">
        <f>IF('Personnel Yr 1'!$J$5&gt;4,IF(OR($N$5&lt;&gt;"Federal - NIH",OR(AND(ISBLANK(I10),ISBLANK(J10),ISBLANK(K10)),AND(I10="",J10="",K10=""))),FALSE,IF(I10&gt;0,H10&gt;NIHSalaryCap,H10&gt;(NIHSalaryCap*8.5)/12)),FALSE)</f>
        <v>0</v>
      </c>
    </row>
    <row r="11" spans="1:25" x14ac:dyDescent="0.2">
      <c r="A11" s="5">
        <v>5</v>
      </c>
      <c r="B11" s="6" t="str">
        <f>IF('Personnel Yr 1'!$J$5&gt;4,IF(NOT(OR(ISBLANK('Personnel Yr 4'!B11),'Personnel Yr 4'!B11="")),'Personnel Yr 4'!B11,""),"")</f>
        <v/>
      </c>
      <c r="C11" s="22" t="str">
        <f>IF('Personnel Yr 1'!$J$5&gt;4,IF(ISBLANK('Personnel Yr 4'!C11),"",'Personnel Yr 4'!C11),"")</f>
        <v/>
      </c>
      <c r="D11" s="22" t="str">
        <f>IF('Personnel Yr 1'!$J$5&gt;4,IF(ISBLANK('Personnel Yr 4'!D11),"",'Personnel Yr 4'!D11),"")</f>
        <v/>
      </c>
      <c r="E11" s="22" t="str">
        <f>IF('Personnel Yr 1'!$J$5&gt;4,IF(ISBLANK('Personnel Yr 4'!E11),"",'Personnel Yr 4'!E11),"")</f>
        <v/>
      </c>
      <c r="F11" s="22" t="str">
        <f>IF('Personnel Yr 1'!$J$5&gt;4,IF(ISBLANK('Personnel Yr 4'!F11),"",'Personnel Yr 4'!F11),"")</f>
        <v/>
      </c>
      <c r="G11" s="22" t="str">
        <f>IF('Personnel Yr 1'!$J$5&gt;4,IF(ISBLANK('Personnel Yr 4'!G11),"",'Personnel Yr 4'!G11),"")</f>
        <v/>
      </c>
      <c r="H11" s="42" t="str">
        <f>IF('Personnel Yr 1'!$J$5&gt;4,IF(NOT(OR(ISBLANK('Personnel Yr 4'!H11),'Personnel Yr 4'!H11="")),(('Personnel Yr 4'!H11*'Personnel Yr 1'!$D$5)+'Personnel Yr 4'!H11),""),"")</f>
        <v/>
      </c>
      <c r="I11" s="22" t="str">
        <f>IF('Personnel Yr 1'!$J$5&gt;4,IF(AND(OR(ISBLANK(H11),H11=""),ISBLANK('Personnel Yr 4'!I11)),"",'Personnel Yr 4'!I11),"")</f>
        <v/>
      </c>
      <c r="J11" s="22" t="str">
        <f>IF('Personnel Yr 1'!$J$5&gt;4,IF(AND(OR(ISBLANK(I11),I11=""),ISBLANK('Personnel Yr 4'!J11)),"",'Personnel Yr 4'!J11),"")</f>
        <v/>
      </c>
      <c r="K11" s="22" t="str">
        <f>IF('Personnel Yr 1'!$J$5&gt;4,IF(AND(OR(ISBLANK(J11),J11=""),ISBLANK('Personnel Yr 4'!K11)),"",'Personnel Yr 4'!K11),"")</f>
        <v/>
      </c>
      <c r="L11" s="44" t="str">
        <f>IF('Personnel Yr 1'!$J$5&gt;4,IF(NOT(OR(ISBLANK(H11),H11="")), IF(OR(AND(ISBLANK(I11),ISBLANK(J11),ISBLANK(K11)),AND(I11="",J11="",K11="")),0, IF((AND((I11&gt;0),((J11+K11)&gt;0))),"Error", IF((I11&gt;0),ROUND((IF(AND('Personnel Yr 1'!$O$5&gt;0,H11&gt;'Personnel Yr 1'!$O$5),'Personnel Yr 1'!$O$5,H11)*(I11/12)),2),ROUND((IF(AND('Personnel Yr 1'!$O$5&gt;0,H11&gt;'Personnel Yr 1'!$O$5),'Personnel Yr 1'!$O$5,H11)*((J11+K11)/8.5)),2)))),""),"")</f>
        <v/>
      </c>
      <c r="M11" s="44" t="str">
        <f>IF('Personnel Yr 1'!$J$5&gt;4,IF(OR(ISBLANK(L11),L11=""),"",ROUND(SUM(T11:V11),2)),"")</f>
        <v/>
      </c>
      <c r="N11" s="51" t="str">
        <f>IF('Personnel Yr 1'!$J$5&gt;4,IF(OR(ISBLANK(M11),M11=""),"",ROUND(SUM(L11:M11),2)),"")</f>
        <v/>
      </c>
      <c r="O11" s="159"/>
      <c r="P11" s="336">
        <f>IF('Personnel Yr 1'!$J$5&gt;4,IF(NOT(OR(ISBLANK(I11),I11="")),(H11/12)*I11,""),0)</f>
        <v>0</v>
      </c>
      <c r="Q11" s="336">
        <f>IF('Personnel Yr 1'!$J$5&gt;4,IF(NOT(OR(ISBLANK(J11),J11="")),(H11/8.5)*J11,""),0)</f>
        <v>0</v>
      </c>
      <c r="R11" s="336">
        <f>IF('Personnel Yr 1'!$J$5&gt;4,IF(NOT(OR(ISBLANK(K11),K11="")),(H11/8.5)*K11,""),0)</f>
        <v>0</v>
      </c>
      <c r="T11" s="347">
        <f t="shared" si="0"/>
        <v>0</v>
      </c>
      <c r="U11" s="347">
        <f t="shared" si="0"/>
        <v>0</v>
      </c>
      <c r="V11" s="347">
        <f t="shared" si="1"/>
        <v>0</v>
      </c>
      <c r="X11" s="336">
        <v>11</v>
      </c>
      <c r="Y11" s="336" t="b">
        <f>IF('Personnel Yr 1'!$J$5&gt;4,IF(OR($N$5&lt;&gt;"Federal - NIH",OR(AND(ISBLANK(I11),ISBLANK(J11),ISBLANK(K11)),AND(I11="",J11="",K11=""))),FALSE,IF(I11&gt;0,H11&gt;NIHSalaryCap,H11&gt;(NIHSalaryCap*8.5)/12)),FALSE)</f>
        <v>0</v>
      </c>
    </row>
    <row r="12" spans="1:25" x14ac:dyDescent="0.2">
      <c r="A12" s="5">
        <v>6</v>
      </c>
      <c r="B12" s="6" t="str">
        <f>IF('Personnel Yr 1'!$J$5&gt;4,IF(NOT(OR(ISBLANK('Personnel Yr 4'!B12),'Personnel Yr 4'!B12="")),'Personnel Yr 4'!B12,""),"")</f>
        <v/>
      </c>
      <c r="C12" s="22" t="str">
        <f>IF('Personnel Yr 1'!$J$5&gt;4,IF(ISBLANK('Personnel Yr 4'!C12),"",'Personnel Yr 4'!C12),"")</f>
        <v/>
      </c>
      <c r="D12" s="22" t="str">
        <f>IF('Personnel Yr 1'!$J$5&gt;4,IF(ISBLANK('Personnel Yr 4'!D12),"",'Personnel Yr 4'!D12),"")</f>
        <v/>
      </c>
      <c r="E12" s="22" t="str">
        <f>IF('Personnel Yr 1'!$J$5&gt;4,IF(ISBLANK('Personnel Yr 4'!E12),"",'Personnel Yr 4'!E12),"")</f>
        <v/>
      </c>
      <c r="F12" s="22" t="str">
        <f>IF('Personnel Yr 1'!$J$5&gt;4,IF(ISBLANK('Personnel Yr 4'!F12),"",'Personnel Yr 4'!F12),"")</f>
        <v/>
      </c>
      <c r="G12" s="22" t="str">
        <f>IF('Personnel Yr 1'!$J$5&gt;4,IF(ISBLANK('Personnel Yr 4'!G12),"",'Personnel Yr 4'!G12),"")</f>
        <v/>
      </c>
      <c r="H12" s="42" t="str">
        <f>IF('Personnel Yr 1'!$J$5&gt;4,IF(NOT(OR(ISBLANK('Personnel Yr 4'!H12),'Personnel Yr 4'!H12="")),(('Personnel Yr 4'!H12*'Personnel Yr 1'!$D$5)+'Personnel Yr 4'!H12),""),"")</f>
        <v/>
      </c>
      <c r="I12" s="22" t="str">
        <f>IF('Personnel Yr 1'!$J$5&gt;4,IF(AND(OR(ISBLANK(H12),H12=""),ISBLANK('Personnel Yr 4'!I12)),"",'Personnel Yr 4'!I12),"")</f>
        <v/>
      </c>
      <c r="J12" s="22" t="str">
        <f>IF('Personnel Yr 1'!$J$5&gt;4,IF(AND(OR(ISBLANK(I12),I12=""),ISBLANK('Personnel Yr 4'!J12)),"",'Personnel Yr 4'!J12),"")</f>
        <v/>
      </c>
      <c r="K12" s="22" t="str">
        <f>IF('Personnel Yr 1'!$J$5&gt;4,IF(AND(OR(ISBLANK(J12),J12=""),ISBLANK('Personnel Yr 4'!K12)),"",'Personnel Yr 4'!K12),"")</f>
        <v/>
      </c>
      <c r="L12" s="44" t="str">
        <f>IF('Personnel Yr 1'!$J$5&gt;4,IF(NOT(OR(ISBLANK(H12),H12="")), IF(OR(AND(ISBLANK(I12),ISBLANK(J12),ISBLANK(K12)),AND(I12="",J12="",K12="")),0, IF((AND((I12&gt;0),((J12+K12)&gt;0))),"Error", IF((I12&gt;0),ROUND((IF(AND('Personnel Yr 1'!$O$5&gt;0,H12&gt;'Personnel Yr 1'!$O$5),'Personnel Yr 1'!$O$5,H12)*(I12/12)),2),ROUND((IF(AND('Personnel Yr 1'!$O$5&gt;0,H12&gt;'Personnel Yr 1'!$O$5),'Personnel Yr 1'!$O$5,H12)*((J12+K12)/8.5)),2)))),""),"")</f>
        <v/>
      </c>
      <c r="M12" s="44" t="str">
        <f>IF('Personnel Yr 1'!$J$5&gt;4,IF(OR(ISBLANK(L12),L12=""),"",ROUND(SUM(T12:V12),2)),"")</f>
        <v/>
      </c>
      <c r="N12" s="51" t="str">
        <f>IF('Personnel Yr 1'!$J$5&gt;4,IF(OR(ISBLANK(M12),M12=""),"",ROUND(SUM(L12:M12),2)),"")</f>
        <v/>
      </c>
      <c r="O12" s="159"/>
      <c r="P12" s="336">
        <f>IF('Personnel Yr 1'!$J$5&gt;4,IF(NOT(OR(ISBLANK(I12),I12="")),(H12/12)*I12,""),0)</f>
        <v>0</v>
      </c>
      <c r="Q12" s="336">
        <f>IF('Personnel Yr 1'!$J$5&gt;4,IF(NOT(OR(ISBLANK(J12),J12="")),(H12/8.5)*J12,""),0)</f>
        <v>0</v>
      </c>
      <c r="R12" s="336">
        <f>IF('Personnel Yr 1'!$J$5&gt;4,IF(NOT(OR(ISBLANK(K12),K12="")),(H12/8.5)*K12,""),0)</f>
        <v>0</v>
      </c>
      <c r="T12" s="347">
        <f t="shared" si="0"/>
        <v>0</v>
      </c>
      <c r="U12" s="347">
        <f t="shared" si="0"/>
        <v>0</v>
      </c>
      <c r="V12" s="347">
        <f t="shared" si="1"/>
        <v>0</v>
      </c>
      <c r="X12" s="336">
        <v>12</v>
      </c>
      <c r="Y12" s="336" t="b">
        <f>IF('Personnel Yr 1'!$J$5&gt;4,IF(OR($N$5&lt;&gt;"Federal - NIH",OR(AND(ISBLANK(I12),ISBLANK(J12),ISBLANK(K12)),AND(I12="",J12="",K12=""))),FALSE,IF(I12&gt;0,H12&gt;NIHSalaryCap,H12&gt;(NIHSalaryCap*8.5)/12)),FALSE)</f>
        <v>0</v>
      </c>
    </row>
    <row r="13" spans="1:25" x14ac:dyDescent="0.2">
      <c r="A13" s="5">
        <v>7</v>
      </c>
      <c r="B13" s="6" t="str">
        <f>IF('Personnel Yr 1'!$J$5&gt;4,IF(NOT(OR(ISBLANK('Personnel Yr 4'!B13),'Personnel Yr 4'!B13="")),'Personnel Yr 4'!B13,""),"")</f>
        <v/>
      </c>
      <c r="C13" s="22" t="str">
        <f>IF('Personnel Yr 1'!$J$5&gt;4,IF(ISBLANK('Personnel Yr 4'!C13),"",'Personnel Yr 4'!C13),"")</f>
        <v/>
      </c>
      <c r="D13" s="22" t="str">
        <f>IF('Personnel Yr 1'!$J$5&gt;4,IF(ISBLANK('Personnel Yr 4'!D13),"",'Personnel Yr 4'!D13),"")</f>
        <v/>
      </c>
      <c r="E13" s="22" t="str">
        <f>IF('Personnel Yr 1'!$J$5&gt;4,IF(ISBLANK('Personnel Yr 4'!E13),"",'Personnel Yr 4'!E13),"")</f>
        <v/>
      </c>
      <c r="F13" s="22" t="str">
        <f>IF('Personnel Yr 1'!$J$5&gt;4,IF(ISBLANK('Personnel Yr 4'!F13),"",'Personnel Yr 4'!F13),"")</f>
        <v/>
      </c>
      <c r="G13" s="22" t="str">
        <f>IF('Personnel Yr 1'!$J$5&gt;4,IF(ISBLANK('Personnel Yr 4'!G13),"",'Personnel Yr 4'!G13),"")</f>
        <v/>
      </c>
      <c r="H13" s="42" t="str">
        <f>IF('Personnel Yr 1'!$J$5&gt;4,IF(NOT(OR(ISBLANK('Personnel Yr 4'!H13),'Personnel Yr 4'!H13="")),(('Personnel Yr 4'!H13*'Personnel Yr 1'!$D$5)+'Personnel Yr 4'!H13),""),"")</f>
        <v/>
      </c>
      <c r="I13" s="22" t="str">
        <f>IF('Personnel Yr 1'!$J$5&gt;4,IF(AND(OR(ISBLANK(H13),H13=""),ISBLANK('Personnel Yr 4'!I13)),"",'Personnel Yr 4'!I13),"")</f>
        <v/>
      </c>
      <c r="J13" s="22" t="str">
        <f>IF('Personnel Yr 1'!$J$5&gt;4,IF(AND(OR(ISBLANK(I13),I13=""),ISBLANK('Personnel Yr 4'!J13)),"",'Personnel Yr 4'!J13),"")</f>
        <v/>
      </c>
      <c r="K13" s="22" t="str">
        <f>IF('Personnel Yr 1'!$J$5&gt;4,IF(AND(OR(ISBLANK(J13),J13=""),ISBLANK('Personnel Yr 4'!K13)),"",'Personnel Yr 4'!K13),"")</f>
        <v/>
      </c>
      <c r="L13" s="44" t="str">
        <f>IF('Personnel Yr 1'!$J$5&gt;4,IF(NOT(OR(ISBLANK(H13),H13="")), IF(OR(AND(ISBLANK(I13),ISBLANK(J13),ISBLANK(K13)),AND(I13="",J13="",K13="")),0, IF((AND((I13&gt;0),((J13+K13)&gt;0))),"Error", IF((I13&gt;0),ROUND((IF(AND('Personnel Yr 1'!$O$5&gt;0,H13&gt;'Personnel Yr 1'!$O$5),'Personnel Yr 1'!$O$5,H13)*(I13/12)),2),ROUND((IF(AND('Personnel Yr 1'!$O$5&gt;0,H13&gt;'Personnel Yr 1'!$O$5),'Personnel Yr 1'!$O$5,H13)*((J13+K13)/8.5)),2)))),""),"")</f>
        <v/>
      </c>
      <c r="M13" s="44" t="str">
        <f>IF('Personnel Yr 1'!$J$5&gt;4,IF(OR(ISBLANK(L13),L13=""),"",ROUND(SUM(T13:V13),2)),"")</f>
        <v/>
      </c>
      <c r="N13" s="51" t="str">
        <f>IF('Personnel Yr 1'!$J$5&gt;4,IF(OR(ISBLANK(M13),M13=""),"",ROUND(SUM(L13:M13),2)),"")</f>
        <v/>
      </c>
      <c r="O13" s="157"/>
      <c r="P13" s="336">
        <f>IF('Personnel Yr 1'!$J$5&gt;4,IF(NOT(OR(ISBLANK(I13),I13="")),(H13/12)*I13,""),0)</f>
        <v>0</v>
      </c>
      <c r="Q13" s="336">
        <f>IF('Personnel Yr 1'!$J$5&gt;4,IF(NOT(OR(ISBLANK(J13),J13="")),(H13/8.5)*J13,""),0)</f>
        <v>0</v>
      </c>
      <c r="R13" s="336">
        <f>IF('Personnel Yr 1'!$J$5&gt;4,IF(NOT(OR(ISBLANK(K13),K13="")),(H13/8.5)*K13,""),0)</f>
        <v>0</v>
      </c>
      <c r="T13" s="347">
        <f t="shared" si="0"/>
        <v>0</v>
      </c>
      <c r="U13" s="347">
        <f t="shared" si="0"/>
        <v>0</v>
      </c>
      <c r="V13" s="347">
        <f t="shared" si="1"/>
        <v>0</v>
      </c>
      <c r="X13" s="336">
        <v>13</v>
      </c>
      <c r="Y13" s="336" t="b">
        <f>IF('Personnel Yr 1'!$J$5&gt;4,IF(OR($N$5&lt;&gt;"Federal - NIH",OR(AND(ISBLANK(I13),ISBLANK(J13),ISBLANK(K13)),AND(I13="",J13="",K13=""))),FALSE,IF(I13&gt;0,H13&gt;NIHSalaryCap,H13&gt;(NIHSalaryCap*8.5)/12)),FALSE)</f>
        <v>0</v>
      </c>
    </row>
    <row r="14" spans="1:25" ht="13.5" thickBot="1" x14ac:dyDescent="0.25">
      <c r="A14" s="5">
        <v>8</v>
      </c>
      <c r="B14" s="7" t="str">
        <f>IF('Personnel Yr 1'!$J$5&gt;4,IF(NOT(OR(ISBLANK('Personnel Yr 4'!B14),'Personnel Yr 4'!B14="")),'Personnel Yr 4'!B14,""),"")</f>
        <v/>
      </c>
      <c r="C14" s="29" t="str">
        <f>IF('Personnel Yr 1'!$J$5&gt;4,IF(ISBLANK('Personnel Yr 4'!C14),"",'Personnel Yr 4'!C14),"")</f>
        <v/>
      </c>
      <c r="D14" s="29" t="str">
        <f>IF('Personnel Yr 1'!$J$5&gt;4,IF(ISBLANK('Personnel Yr 4'!D14),"",'Personnel Yr 4'!D14),"")</f>
        <v/>
      </c>
      <c r="E14" s="29" t="str">
        <f>IF('Personnel Yr 1'!$J$5&gt;4,IF(ISBLANK('Personnel Yr 4'!E14),"",'Personnel Yr 4'!E14),"")</f>
        <v/>
      </c>
      <c r="F14" s="29" t="str">
        <f>IF('Personnel Yr 1'!$J$5&gt;4,IF(ISBLANK('Personnel Yr 4'!F14),"",'Personnel Yr 4'!F14),"")</f>
        <v/>
      </c>
      <c r="G14" s="29" t="str">
        <f>IF('Personnel Yr 1'!$J$5&gt;4,IF(ISBLANK('Personnel Yr 4'!G14),"",'Personnel Yr 4'!G14),"")</f>
        <v/>
      </c>
      <c r="H14" s="43" t="str">
        <f>IF('Personnel Yr 1'!$J$5&gt;4,IF(NOT(OR(ISBLANK('Personnel Yr 4'!H14),'Personnel Yr 4'!H14="")),(('Personnel Yr 4'!H14*'Personnel Yr 1'!$D$5)+'Personnel Yr 4'!H14),""),"")</f>
        <v/>
      </c>
      <c r="I14" s="29" t="str">
        <f>IF('Personnel Yr 1'!$J$5&gt;4,IF(AND(OR(ISBLANK(H14),H14=""),ISBLANK('Personnel Yr 4'!I14)),"",'Personnel Yr 4'!I14),"")</f>
        <v/>
      </c>
      <c r="J14" s="29" t="str">
        <f>IF('Personnel Yr 1'!$J$5&gt;4,IF(AND(OR(ISBLANK(I14),I14=""),ISBLANK('Personnel Yr 4'!J14)),"",'Personnel Yr 4'!J14),"")</f>
        <v/>
      </c>
      <c r="K14" s="29" t="str">
        <f>IF('Personnel Yr 1'!$J$5&gt;4,IF(AND(OR(ISBLANK(J14),J14=""),ISBLANK('Personnel Yr 4'!K14)),"",'Personnel Yr 4'!K14),"")</f>
        <v/>
      </c>
      <c r="L14" s="52" t="str">
        <f>IF('Personnel Yr 1'!$J$5&gt;4,IF(NOT(OR(ISBLANK(H14),H14="")), IF(OR(AND(ISBLANK(I14),ISBLANK(J14),ISBLANK(K14)),AND(I14="",J14="",K14="")),0, IF((AND((I14&gt;0),((J14+K14)&gt;0))),"Error", IF((I14&gt;0),ROUND((IF(AND('Personnel Yr 1'!$O$5&gt;0,H14&gt;'Personnel Yr 1'!$O$5),'Personnel Yr 1'!$O$5,H14)*(I14/12)),2),ROUND((IF(AND('Personnel Yr 1'!$O$5&gt;0,H14&gt;'Personnel Yr 1'!$O$5),'Personnel Yr 1'!$O$5,H14)*((J14+K14)/8.5)),2)))),""),"")</f>
        <v/>
      </c>
      <c r="M14" s="49" t="str">
        <f>IF('Personnel Yr 1'!$J$5&gt;4,IF(OR(ISBLANK(L14),L14=""),"",ROUND(SUM(T14:V14),2)),"")</f>
        <v/>
      </c>
      <c r="N14" s="50" t="str">
        <f>IF('Personnel Yr 1'!$J$5&gt;4,IF(OR(ISBLANK(M14),M14=""),"",ROUND(SUM(L14:M14),2)),"")</f>
        <v/>
      </c>
      <c r="O14" s="161"/>
      <c r="P14" s="336">
        <f>IF('Personnel Yr 1'!$J$5&gt;4,IF(NOT(OR(ISBLANK(I14),I14="")),(H14/12)*I14,""),0)</f>
        <v>0</v>
      </c>
      <c r="Q14" s="336">
        <f>IF('Personnel Yr 1'!$J$5&gt;4,IF(NOT(OR(ISBLANK(J14),J14="")),(H14/8.5)*J14,""),0)</f>
        <v>0</v>
      </c>
      <c r="R14" s="336">
        <f>IF('Personnel Yr 1'!$J$5&gt;4,IF(NOT(OR(ISBLANK(K14),K14="")),(H14/8.5)*K14,""),0)</f>
        <v>0</v>
      </c>
      <c r="T14" s="347">
        <f t="shared" si="0"/>
        <v>0</v>
      </c>
      <c r="U14" s="347">
        <f t="shared" si="0"/>
        <v>0</v>
      </c>
      <c r="V14" s="347">
        <f t="shared" si="1"/>
        <v>0</v>
      </c>
      <c r="X14" s="336">
        <v>14</v>
      </c>
      <c r="Y14" s="336" t="b">
        <f>IF('Personnel Yr 1'!$J$5&gt;4,IF(OR($N$5&lt;&gt;"Federal - NIH",OR(AND(ISBLANK(I14),ISBLANK(J14),ISBLANK(K14)),AND(I14="",J14="",K14=""))),FALSE,IF(I14&gt;0,H14&gt;NIHSalaryCap,H14&gt;(NIHSalaryCap*8.5)/12)),FALSE)</f>
        <v>0</v>
      </c>
    </row>
    <row r="15" spans="1:25" ht="13.5" thickBot="1" x14ac:dyDescent="0.25">
      <c r="A15" s="5">
        <v>9</v>
      </c>
      <c r="B15" s="27">
        <f>B59</f>
        <v>0</v>
      </c>
      <c r="C15" s="563" t="s">
        <v>52</v>
      </c>
      <c r="D15" s="563"/>
      <c r="E15" s="563"/>
      <c r="F15" s="563"/>
      <c r="G15" s="573" t="s">
        <v>63</v>
      </c>
      <c r="H15" s="573"/>
      <c r="I15" s="573"/>
      <c r="J15" s="573"/>
      <c r="K15" s="573"/>
      <c r="L15" s="573"/>
      <c r="M15" s="574"/>
      <c r="N15" s="56">
        <f>N59</f>
        <v>0</v>
      </c>
      <c r="P15" s="336">
        <f t="shared" ref="P15:V15" si="2">SUM(P7:P14)</f>
        <v>0</v>
      </c>
      <c r="Q15" s="336">
        <f t="shared" si="2"/>
        <v>0</v>
      </c>
      <c r="R15" s="336">
        <f t="shared" si="2"/>
        <v>0</v>
      </c>
      <c r="T15" s="336">
        <f t="shared" si="2"/>
        <v>0</v>
      </c>
      <c r="U15" s="336">
        <f t="shared" si="2"/>
        <v>0</v>
      </c>
      <c r="V15" s="336">
        <f t="shared" si="2"/>
        <v>0</v>
      </c>
    </row>
    <row r="16" spans="1:25" ht="13.5" thickBot="1" x14ac:dyDescent="0.25">
      <c r="B16" s="27">
        <f>SUM(ROWS(E7:E14)-COUNTIF(E7:E14,""),B15)</f>
        <v>0</v>
      </c>
      <c r="C16" s="569" t="s">
        <v>51</v>
      </c>
      <c r="D16" s="570"/>
      <c r="E16" s="570"/>
      <c r="F16" s="570"/>
      <c r="G16" s="9"/>
      <c r="H16" s="10"/>
      <c r="I16" s="10"/>
      <c r="J16" s="571" t="s">
        <v>34</v>
      </c>
      <c r="K16" s="571"/>
      <c r="L16" s="571"/>
      <c r="M16" s="572"/>
      <c r="N16" s="48">
        <f>SUM(N7:N15)</f>
        <v>0</v>
      </c>
    </row>
    <row r="17" spans="2:29" x14ac:dyDescent="0.2">
      <c r="B17" s="9"/>
      <c r="C17" s="9"/>
      <c r="D17" s="9"/>
      <c r="E17" s="9"/>
      <c r="F17" s="9"/>
      <c r="G17" s="9"/>
      <c r="H17" s="10"/>
      <c r="I17" s="10"/>
      <c r="J17" s="11"/>
      <c r="K17" s="11"/>
      <c r="L17" s="11"/>
      <c r="M17" s="11"/>
      <c r="N17" s="10"/>
    </row>
    <row r="18" spans="2:29" x14ac:dyDescent="0.2">
      <c r="B18" s="9"/>
      <c r="C18" s="9"/>
      <c r="D18" s="9"/>
      <c r="E18" s="9"/>
      <c r="F18" s="9"/>
      <c r="G18" s="9"/>
      <c r="H18" s="9"/>
      <c r="I18" s="9"/>
      <c r="J18" s="11"/>
      <c r="K18" s="11"/>
      <c r="L18" s="11"/>
      <c r="M18" s="11"/>
      <c r="N18" s="9"/>
    </row>
    <row r="19" spans="2:29" x14ac:dyDescent="0.2">
      <c r="B19" s="575" t="s">
        <v>6</v>
      </c>
      <c r="C19" s="575"/>
      <c r="D19" s="576" t="s">
        <v>96</v>
      </c>
      <c r="E19" s="576"/>
      <c r="F19" s="576"/>
      <c r="G19" s="576"/>
      <c r="H19" s="576"/>
      <c r="I19" s="576"/>
      <c r="J19" s="576"/>
      <c r="K19" s="576"/>
    </row>
    <row r="20" spans="2:29" ht="26.25" thickBot="1" x14ac:dyDescent="0.25">
      <c r="B20" s="13" t="s">
        <v>7</v>
      </c>
      <c r="C20" s="14"/>
      <c r="D20" s="14"/>
      <c r="E20" s="14"/>
      <c r="F20" s="14"/>
      <c r="G20" s="14"/>
      <c r="H20" s="15" t="s">
        <v>65</v>
      </c>
      <c r="I20" s="15" t="s">
        <v>60</v>
      </c>
      <c r="J20" s="15" t="s">
        <v>61</v>
      </c>
      <c r="K20" s="15" t="s">
        <v>62</v>
      </c>
      <c r="L20" s="15" t="s">
        <v>44</v>
      </c>
      <c r="M20" s="40" t="s">
        <v>45</v>
      </c>
      <c r="N20" s="40" t="s">
        <v>41</v>
      </c>
      <c r="O20" s="3" t="s">
        <v>234</v>
      </c>
    </row>
    <row r="21" spans="2:29" x14ac:dyDescent="0.2">
      <c r="B21" s="16" t="str">
        <f>IF('Personnel Yr 1'!$J$5&gt;4,IF(OR(ISBLANK('Personnel Yr 4'!B21),'Personnel Yr 4'!B21=""),"",'Personnel Yr 4'!B21),"")</f>
        <v/>
      </c>
      <c r="C21" s="578" t="s">
        <v>8</v>
      </c>
      <c r="D21" s="578"/>
      <c r="E21" s="578"/>
      <c r="F21" s="578"/>
      <c r="G21" s="578"/>
      <c r="H21" s="579"/>
      <c r="I21" s="17" t="str">
        <f>IF('Personnel Yr 1'!$J$5&gt;4,IF(OR(ISBLANK('Personnel Yr 4'!I21),'Personnel Yr 4'!I21=""),"",'Personnel Yr 4'!I21),"")</f>
        <v/>
      </c>
      <c r="J21" s="17" t="str">
        <f>IF('Personnel Yr 1'!$J$5&gt;4,IF(OR(ISBLANK('Personnel Yr 4'!J21),'Personnel Yr 4'!J21=""),"",'Personnel Yr 4'!J21),"")</f>
        <v/>
      </c>
      <c r="K21" s="17" t="str">
        <f>IF('Personnel Yr 1'!$J$5&gt;4,IF(OR(ISBLANK('Personnel Yr 4'!K21),'Personnel Yr 4'!K21=""),"",'Personnel Yr 4'!K21),"")</f>
        <v/>
      </c>
      <c r="L21" s="41" t="str">
        <f>IF('Personnel Yr 1'!$J$5&gt;4,IF(NOT(OR(ISBLANK('Personnel Yr 4'!L21),'Personnel Yr 4'!L21="")),(('Personnel Yr 4'!L21*'Personnel Yr 1'!$D$5)+'Personnel Yr 4'!L21),""),"")</f>
        <v/>
      </c>
      <c r="M21" s="49" t="str">
        <f>IF('Personnel Yr 1'!$J$5&gt;4,IF(OR(ISBLANK(L21),L21=""),"",ROUND(L21*LOOKUP("Full",Ben,Per),2)),"")</f>
        <v/>
      </c>
      <c r="N21" s="272" t="str">
        <f>IF('Personnel Yr 1'!$J$5&gt;4,IF(OR(ISBLANK(L21),L21=""),"",ROUND(SUM(L21:M21),2)),"")</f>
        <v/>
      </c>
      <c r="O21" s="162"/>
    </row>
    <row r="22" spans="2:29" x14ac:dyDescent="0.2">
      <c r="B22" s="18" t="str">
        <f>IF('Personnel Yr 1'!$J$5&gt;4,IF(OR(ISBLANK('Personnel Yr 4'!B22),'Personnel Yr 4'!B22=""),"",'Personnel Yr 4'!B22),"")</f>
        <v/>
      </c>
      <c r="C22" s="580" t="s">
        <v>73</v>
      </c>
      <c r="D22" s="581"/>
      <c r="E22" s="581"/>
      <c r="F22" s="581"/>
      <c r="G22" s="581"/>
      <c r="H22" s="583"/>
      <c r="I22" s="19" t="str">
        <f>IF('Personnel Yr 1'!$J$5&gt;4,IF(OR(ISBLANK('Personnel Yr 4'!I22),'Personnel Yr 4'!I22=""),"",'Personnel Yr 4'!I22),"")</f>
        <v/>
      </c>
      <c r="J22" s="19" t="str">
        <f>IF('Personnel Yr 1'!$J$5&gt;4,IF(OR(ISBLANK('Personnel Yr 4'!J22),'Personnel Yr 4'!J22=""),"",'Personnel Yr 4'!J22),"")</f>
        <v/>
      </c>
      <c r="K22" s="19" t="str">
        <f>IF('Personnel Yr 1'!$J$5&gt;4,IF(OR(ISBLANK('Personnel Yr 4'!K22),'Personnel Yr 4'!K22=""),"",'Personnel Yr 4'!K22),"")</f>
        <v/>
      </c>
      <c r="L22" s="53" t="str">
        <f>IF('Personnel Yr 1'!$J$5&gt;4,IF(NOT(OR(ISBLANK('Personnel Yr 4'!L22),'Personnel Yr 4'!L22="")),(('Personnel Yr 4'!L22*'Personnel Yr 1'!$D$5)+'Personnel Yr 4'!L22),""),"")</f>
        <v/>
      </c>
      <c r="M22" s="49" t="str">
        <f>IF('Personnel Yr 1'!$J$5&gt;4,IF(OR(ISBLANK(L22),L22=""),"",ROUND(L22*LOOKUP("Full",Ben,Per),2)),"")</f>
        <v/>
      </c>
      <c r="N22" s="272" t="str">
        <f>IF('Personnel Yr 1'!$J$5&gt;4,IF(OR(ISBLANK(L22),L22=""),"",ROUND(SUM(L22:M22),2)),"")</f>
        <v/>
      </c>
      <c r="O22" s="165"/>
    </row>
    <row r="23" spans="2:29" x14ac:dyDescent="0.2">
      <c r="B23" s="20" t="str">
        <f>IF('Personnel Yr 1'!$J$5&gt;4,IF(OR(ISBLANK('Personnel Yr 4'!B23),'Personnel Yr 4'!B23=""),"",'Personnel Yr 4'!B23),"")</f>
        <v/>
      </c>
      <c r="C23" s="580" t="s">
        <v>9</v>
      </c>
      <c r="D23" s="581"/>
      <c r="E23" s="581"/>
      <c r="F23" s="581"/>
      <c r="G23" s="429"/>
      <c r="H23" s="68" t="str">
        <f>IF('Personnel Yr 1'!$J$5&gt;4,IF(OR(ISBLANK('Personnel Yr 4'!H23),'Personnel Yr 4'!H23=""),"",'Personnel Yr 4'!H23),"")</f>
        <v/>
      </c>
      <c r="I23" s="21" t="str">
        <f>IF('Personnel Yr 1'!$J$5&gt;4,IF(OR(ISBLANK('Personnel Yr 4'!I23),'Personnel Yr 4'!I23=""),"",'Personnel Yr 4'!I23),"")</f>
        <v/>
      </c>
      <c r="J23" s="21" t="str">
        <f>IF('Personnel Yr 1'!$J$5&gt;4,IF(OR(ISBLANK('Personnel Yr 4'!J23),'Personnel Yr 4'!J23=""),"",'Personnel Yr 4'!J23),"")</f>
        <v/>
      </c>
      <c r="K23" s="21" t="str">
        <f>IF('Personnel Yr 1'!$J$5&gt;4,IF(OR(ISBLANK('Personnel Yr 4'!K23),'Personnel Yr 4'!K23=""),"",'Personnel Yr 4'!K23),"")</f>
        <v/>
      </c>
      <c r="L23" s="42" t="str">
        <f>IF('Personnel Yr 1'!$J$5&gt;4,IF(NOT(OR(ISBLANK('Personnel Yr 4'!L23),'Personnel Yr 4'!L23="")),(('Personnel Yr 4'!L23*'Personnel Yr 1'!$D$5)+'Personnel Yr 4'!L23),""),"")</f>
        <v/>
      </c>
      <c r="M23" s="47" t="str">
        <f>IF('Personnel Yr 1'!$J$5&gt;4,IF(OR(ISBLANK(L23),L23=""),"",ROUND(L23*LOOKUP(H23,Grad,GradR),2)),"")</f>
        <v/>
      </c>
      <c r="N23" s="272" t="str">
        <f>IF('Personnel Yr 1'!$J$5&gt;4,IF(OR(ISBLANK(L23),L23=""),"",ROUND(SUM(L23:M23),2)),"")</f>
        <v/>
      </c>
      <c r="O23" s="165"/>
    </row>
    <row r="24" spans="2:29" x14ac:dyDescent="0.2">
      <c r="B24" s="20" t="str">
        <f>IF('Personnel Yr 1'!$J$5&gt;4,IF(OR(ISBLANK('Personnel Yr 4'!B24),'Personnel Yr 4'!B24=""),"",'Personnel Yr 4'!B24),"")</f>
        <v/>
      </c>
      <c r="C24" s="581" t="s">
        <v>10</v>
      </c>
      <c r="D24" s="581"/>
      <c r="E24" s="581"/>
      <c r="F24" s="581"/>
      <c r="G24" s="581"/>
      <c r="H24" s="582"/>
      <c r="I24" s="22" t="str">
        <f>IF('Personnel Yr 1'!$J$5&gt;4,IF(OR(ISBLANK('Personnel Yr 4'!I24),'Personnel Yr 4'!I24=""),"",'Personnel Yr 4'!I24),"")</f>
        <v/>
      </c>
      <c r="J24" s="22" t="str">
        <f>IF('Personnel Yr 1'!$J$5&gt;4,IF(OR(ISBLANK('Personnel Yr 4'!J24),'Personnel Yr 4'!J24=""),"",'Personnel Yr 4'!J24),"")</f>
        <v/>
      </c>
      <c r="K24" s="22" t="str">
        <f>IF('Personnel Yr 1'!$J$5&gt;4,IF(OR(ISBLANK('Personnel Yr 4'!K24),'Personnel Yr 4'!K24=""),"",'Personnel Yr 4'!K24),"")</f>
        <v/>
      </c>
      <c r="L24" s="54" t="str">
        <f>IF('Personnel Yr 1'!$J$5&gt;4,IF(NOT(OR(ISBLANK('Personnel Yr 4'!L24),'Personnel Yr 4'!L24="")),(('Personnel Yr 4'!L24*'Personnel Yr 1'!$D$5)+'Personnel Yr 4'!L24),""),"")</f>
        <v/>
      </c>
      <c r="M24" s="47" t="str">
        <f>IF('Personnel Yr 1'!$J$5&gt;4,IF(OR(ISBLANK(L24),L24=""),"",ROUND(L24*LOOKUP("Temp",Ben,Per),2)),"")</f>
        <v/>
      </c>
      <c r="N24" s="272" t="str">
        <f>IF('Personnel Yr 1'!$J$5&gt;4,IF(OR(ISBLANK(L24),L24=""),"",ROUND(SUM(L24:M24),2)),"")</f>
        <v/>
      </c>
      <c r="O24" s="165"/>
    </row>
    <row r="25" spans="2:29" x14ac:dyDescent="0.2">
      <c r="B25" s="20" t="str">
        <f>IF('Personnel Yr 1'!$J$5&gt;4,IF(OR(ISBLANK('Personnel Yr 4'!B25),'Personnel Yr 4'!B25=""),"",'Personnel Yr 4'!B25),"")</f>
        <v/>
      </c>
      <c r="C25" s="617" t="s">
        <v>504</v>
      </c>
      <c r="D25" s="581"/>
      <c r="E25" s="581"/>
      <c r="F25" s="581"/>
      <c r="G25" s="581"/>
      <c r="H25" s="582"/>
      <c r="I25" s="22" t="str">
        <f>IF('Personnel Yr 1'!$J$5&gt;4,IF(OR(ISBLANK('Personnel Yr 4'!I25),'Personnel Yr 4'!I25=""),"",'Personnel Yr 4'!I25),"")</f>
        <v/>
      </c>
      <c r="J25" s="22" t="str">
        <f>IF('Personnel Yr 1'!$J$5&gt;4,IF(OR(ISBLANK('Personnel Yr 4'!J25),'Personnel Yr 4'!J25=""),"",'Personnel Yr 4'!J25),"")</f>
        <v/>
      </c>
      <c r="K25" s="22" t="str">
        <f>IF('Personnel Yr 1'!$J$5&gt;4,IF(OR(ISBLANK('Personnel Yr 4'!K25),'Personnel Yr 4'!K25=""),"",'Personnel Yr 4'!K25),"")</f>
        <v/>
      </c>
      <c r="L25" s="54" t="str">
        <f>IF('Personnel Yr 1'!$J$5&gt;4,IF(NOT(OR(ISBLANK('Personnel Yr 4'!L25),'Personnel Yr 4'!L25="")),(('Personnel Yr 4'!L25*'Personnel Yr 1'!$D$5)+'Personnel Yr 4'!L25),""),"")</f>
        <v/>
      </c>
      <c r="M25" s="47" t="str">
        <f>IF('Personnel Yr 1'!$J$5&gt;4,IF(OR(ISBLANK(L25),L25=""),"",ROUND(L25*LOOKUP("Full",Ben,Per),2)),"")</f>
        <v/>
      </c>
      <c r="N25" s="272" t="str">
        <f>IF('Personnel Yr 1'!$J$5&gt;4,IF(OR(ISBLANK(L25),L25=""),"",ROUND(SUM(L25:M25),2)),"")</f>
        <v/>
      </c>
      <c r="O25" s="165"/>
    </row>
    <row r="26" spans="2:29" x14ac:dyDescent="0.2">
      <c r="B26" s="20" t="str">
        <f>IF('Personnel Yr 1'!$J$5&gt;4,IF(OR(ISBLANK('Personnel Yr 4'!B26),'Personnel Yr 4'!B26=""),"",'Personnel Yr 4'!B26),"")</f>
        <v/>
      </c>
      <c r="C26" s="581" t="s">
        <v>72</v>
      </c>
      <c r="D26" s="581"/>
      <c r="E26" s="581"/>
      <c r="F26" s="581"/>
      <c r="G26" s="581"/>
      <c r="H26" s="582"/>
      <c r="I26" s="22" t="str">
        <f>IF('Personnel Yr 1'!$J$5&gt;4,IF(OR(ISBLANK('Personnel Yr 4'!I26),'Personnel Yr 4'!I26=""),"",'Personnel Yr 4'!I26),"")</f>
        <v/>
      </c>
      <c r="J26" s="22" t="str">
        <f>IF('Personnel Yr 1'!$J$5&gt;4,IF(OR(ISBLANK('Personnel Yr 4'!J26),'Personnel Yr 4'!J26=""),"",'Personnel Yr 4'!J26),"")</f>
        <v/>
      </c>
      <c r="K26" s="22" t="str">
        <f>IF('Personnel Yr 1'!$J$5&gt;4,IF(OR(ISBLANK('Personnel Yr 4'!K26),'Personnel Yr 4'!K26=""),"",'Personnel Yr 4'!K26),"")</f>
        <v/>
      </c>
      <c r="L26" s="54" t="str">
        <f>IF('Personnel Yr 1'!$J$5&gt;4,IF(NOT(OR(ISBLANK('Personnel Yr 4'!L26),'Personnel Yr 4'!L26="")),(('Personnel Yr 4'!L26*'Personnel Yr 1'!$D$5)+'Personnel Yr 4'!L26),""),"")</f>
        <v/>
      </c>
      <c r="M26" s="44" t="str">
        <f>IF('Personnel Yr 1'!$J$5&gt;4,IF(OR(ISBLANK(L26),L26=""),"",ROUND(L26*LOOKUP("Temp",Ben,Per),2)),"")</f>
        <v/>
      </c>
      <c r="N26" s="273" t="str">
        <f>IF('Personnel Yr 1'!$J$5&gt;4,IF(OR(ISBLANK(L26),L26=""),"",ROUND(SUM(L26:M26),2)),"")</f>
        <v/>
      </c>
      <c r="O26" s="20"/>
    </row>
    <row r="27" spans="2:29" s="257" customFormat="1" x14ac:dyDescent="0.2">
      <c r="B27" s="20"/>
      <c r="C27" s="589" t="s">
        <v>421</v>
      </c>
      <c r="D27" s="588"/>
      <c r="E27" s="588"/>
      <c r="F27" s="588"/>
      <c r="G27" s="588"/>
      <c r="H27" s="588"/>
      <c r="I27" s="22"/>
      <c r="J27" s="22"/>
      <c r="K27" s="22"/>
      <c r="L27" s="54" t="str">
        <f>IF('Personnel Yr 1'!$J$5&gt;4,IF(NOT(OR(ISBLANK('Personnel Yr 4'!L27),'Personnel Yr 4'!L27="")),(('Personnel Yr 4'!L27*'Personnel Yr 1'!$D$5)+'Personnel Yr 4'!L27),""),"")</f>
        <v/>
      </c>
      <c r="M27" s="44" t="str">
        <f>IF('Personnel Yr 1'!$J$5&gt;4,IF(OR(ISBLANK(L27),L27=""),"",ROUND(L27*LOOKUP("Temp",Ben,Per),2)),"")</f>
        <v/>
      </c>
      <c r="N27" s="273" t="str">
        <f>IF('Personnel Yr 1'!$J$5&gt;4,IF(OR(ISBLANK(L27),L27=""),"",ROUND(SUM(L27:M27),2)),"")</f>
        <v/>
      </c>
      <c r="O27" s="20"/>
      <c r="P27" s="336"/>
      <c r="Q27" s="336"/>
      <c r="R27" s="336"/>
      <c r="S27" s="336"/>
      <c r="T27" s="336"/>
      <c r="U27" s="336"/>
      <c r="V27" s="336"/>
      <c r="W27" s="336"/>
      <c r="X27" s="336"/>
      <c r="Y27" s="336"/>
      <c r="Z27" s="338"/>
      <c r="AA27" s="338"/>
      <c r="AB27" s="338"/>
      <c r="AC27" s="338"/>
    </row>
    <row r="28" spans="2:29" s="257" customFormat="1" ht="13.5" thickBot="1" x14ac:dyDescent="0.25">
      <c r="B28" s="164"/>
      <c r="C28" s="590" t="s">
        <v>422</v>
      </c>
      <c r="D28" s="591"/>
      <c r="E28" s="591"/>
      <c r="F28" s="591"/>
      <c r="G28" s="591"/>
      <c r="H28" s="591"/>
      <c r="I28" s="29"/>
      <c r="J28" s="29"/>
      <c r="K28" s="29"/>
      <c r="L28" s="54" t="str">
        <f>IF('Personnel Yr 1'!$J$5&gt;4,IF(NOT(OR(ISBLANK('Personnel Yr 4'!L28),'Personnel Yr 4'!L28="")),(('Personnel Yr 4'!L28*'Personnel Yr 1'!$D$5)+'Personnel Yr 4'!L28),""),"")</f>
        <v/>
      </c>
      <c r="M28" s="52" t="str">
        <f>IF('Personnel Yr 1'!$J$5&gt;4,IF(OR(ISBLANK(L28),L28=""),"",ROUND(L28*LOOKUP("Adjunct",Ben,Per),2)),"")</f>
        <v/>
      </c>
      <c r="N28" s="274" t="str">
        <f>IF('Personnel Yr 1'!$J$5&gt;4,IF(OR(ISBLANK(L28),L28=""),"",ROUND(SUM(L28:M28),2)),"")</f>
        <v/>
      </c>
      <c r="O28" s="164"/>
      <c r="P28" s="336"/>
      <c r="Q28" s="336"/>
      <c r="R28" s="336"/>
      <c r="S28" s="336"/>
      <c r="T28" s="336"/>
      <c r="U28" s="336"/>
      <c r="V28" s="336"/>
      <c r="W28" s="336"/>
      <c r="X28" s="336"/>
      <c r="Y28" s="336"/>
      <c r="Z28" s="338"/>
      <c r="AA28" s="338"/>
      <c r="AB28" s="338"/>
      <c r="AC28" s="338"/>
    </row>
    <row r="29" spans="2:29" ht="13.5" thickBot="1" x14ac:dyDescent="0.25">
      <c r="B29" s="27">
        <f>SUM(B21:B26)</f>
        <v>0</v>
      </c>
      <c r="C29" s="618" t="s">
        <v>11</v>
      </c>
      <c r="D29" s="563"/>
      <c r="E29" s="563"/>
      <c r="F29" s="563"/>
      <c r="G29" s="23"/>
      <c r="H29" s="23"/>
      <c r="I29" s="573" t="s">
        <v>12</v>
      </c>
      <c r="J29" s="619"/>
      <c r="K29" s="619"/>
      <c r="L29" s="619"/>
      <c r="M29" s="620"/>
      <c r="N29" s="56">
        <f>ROUND(SUM(N21:N28),2)</f>
        <v>0</v>
      </c>
    </row>
    <row r="30" spans="2:29" ht="13.5" thickBot="1" x14ac:dyDescent="0.25">
      <c r="B30" s="9"/>
      <c r="C30" s="24"/>
      <c r="D30" s="24"/>
      <c r="E30" s="24"/>
      <c r="F30" s="24"/>
      <c r="G30" s="24"/>
      <c r="H30" s="25"/>
      <c r="I30" s="571" t="s">
        <v>13</v>
      </c>
      <c r="J30" s="571"/>
      <c r="K30" s="571"/>
      <c r="L30" s="571"/>
      <c r="M30" s="572"/>
      <c r="N30" s="48">
        <f>ROUND(SUM(N16,N29),2)</f>
        <v>0</v>
      </c>
    </row>
    <row r="32" spans="2:29" ht="13.5" thickBot="1" x14ac:dyDescent="0.25"/>
    <row r="33" spans="1:25" ht="12.75" customHeight="1" x14ac:dyDescent="0.2">
      <c r="G33" s="336" t="s">
        <v>461</v>
      </c>
      <c r="H33" s="555" t="s">
        <v>235</v>
      </c>
      <c r="I33" s="556"/>
      <c r="J33" s="556"/>
      <c r="K33" s="556"/>
      <c r="L33" s="557"/>
    </row>
    <row r="34" spans="1:25" ht="12.75" customHeight="1" thickBot="1" x14ac:dyDescent="0.25">
      <c r="G34" s="336" t="b">
        <f>IFERROR(OR(AND('Personnel Yr 1'!N5="Federal - NIH",SUM('Non-personnel'!$J$41,$N$23)/$B$23&lt;=NIHGradLimit),'Personnel Yr 1'!N5&lt;&gt;"Federal - NIH"),TRUE)</f>
        <v>1</v>
      </c>
      <c r="H34" s="558"/>
      <c r="I34" s="559"/>
      <c r="J34" s="559"/>
      <c r="K34" s="559"/>
      <c r="L34" s="560"/>
    </row>
    <row r="35" spans="1:25" ht="12.75" customHeight="1" x14ac:dyDescent="0.2">
      <c r="G35" s="336" t="e">
        <f>SUM('Non-personnel'!$P$41,$N$23)/$B$23</f>
        <v>#VALUE!</v>
      </c>
      <c r="H35" s="546" t="s">
        <v>240</v>
      </c>
      <c r="I35" s="609"/>
      <c r="J35" s="609"/>
      <c r="K35" s="609"/>
      <c r="L35" s="610"/>
    </row>
    <row r="36" spans="1:25" ht="12.75" customHeight="1" x14ac:dyDescent="0.2">
      <c r="H36" s="611"/>
      <c r="I36" s="612"/>
      <c r="J36" s="612"/>
      <c r="K36" s="612"/>
      <c r="L36" s="613"/>
    </row>
    <row r="37" spans="1:25" ht="12.75" customHeight="1" x14ac:dyDescent="0.2">
      <c r="H37" s="611"/>
      <c r="I37" s="612"/>
      <c r="J37" s="612"/>
      <c r="K37" s="612"/>
      <c r="L37" s="613"/>
    </row>
    <row r="38" spans="1:25" ht="12.75" customHeight="1" x14ac:dyDescent="0.2">
      <c r="H38" s="611"/>
      <c r="I38" s="612"/>
      <c r="J38" s="612"/>
      <c r="K38" s="612"/>
      <c r="L38" s="613"/>
    </row>
    <row r="39" spans="1:25" ht="12.75" customHeight="1" thickBot="1" x14ac:dyDescent="0.25">
      <c r="H39" s="614"/>
      <c r="I39" s="615"/>
      <c r="J39" s="615"/>
      <c r="K39" s="615"/>
      <c r="L39" s="616"/>
    </row>
    <row r="40" spans="1:25" ht="12.75" customHeight="1" thickBot="1" x14ac:dyDescent="0.25">
      <c r="H40" s="174" t="s">
        <v>236</v>
      </c>
      <c r="I40" s="167"/>
      <c r="J40" s="173" t="s">
        <v>237</v>
      </c>
      <c r="K40" s="173" t="s">
        <v>238</v>
      </c>
      <c r="L40" s="172" t="s">
        <v>239</v>
      </c>
    </row>
    <row r="41" spans="1:25" ht="12.75" customHeight="1" thickBot="1" x14ac:dyDescent="0.25">
      <c r="H41" s="168">
        <v>0</v>
      </c>
      <c r="I41" s="169"/>
      <c r="J41" s="170">
        <f>H41*12</f>
        <v>0</v>
      </c>
      <c r="K41" s="170">
        <f>H41*8.5</f>
        <v>0</v>
      </c>
      <c r="L41" s="171">
        <f>H41*3.5</f>
        <v>0</v>
      </c>
    </row>
    <row r="42" spans="1:25" x14ac:dyDescent="0.2">
      <c r="B42" s="545" t="s">
        <v>242</v>
      </c>
      <c r="C42" s="545"/>
      <c r="D42" s="545"/>
    </row>
    <row r="43" spans="1:25" ht="26.25" thickBot="1" x14ac:dyDescent="0.25">
      <c r="A43" s="2"/>
      <c r="B43" s="3" t="s">
        <v>0</v>
      </c>
      <c r="C43" s="3" t="s">
        <v>1</v>
      </c>
      <c r="D43" s="3" t="s">
        <v>2</v>
      </c>
      <c r="E43" s="3" t="s">
        <v>3</v>
      </c>
      <c r="F43" s="3" t="s">
        <v>4</v>
      </c>
      <c r="G43" s="3" t="s">
        <v>42</v>
      </c>
      <c r="H43" s="3" t="s">
        <v>43</v>
      </c>
      <c r="I43" s="445" t="s">
        <v>60</v>
      </c>
      <c r="J43" s="445" t="s">
        <v>61</v>
      </c>
      <c r="K43" s="3" t="s">
        <v>62</v>
      </c>
      <c r="L43" s="4" t="s">
        <v>44</v>
      </c>
      <c r="M43" s="3" t="s">
        <v>45</v>
      </c>
      <c r="N43" s="3" t="s">
        <v>41</v>
      </c>
      <c r="O43" s="3" t="s">
        <v>234</v>
      </c>
      <c r="P43" s="335" t="s">
        <v>66</v>
      </c>
      <c r="Q43" s="335" t="s">
        <v>67</v>
      </c>
      <c r="R43" s="335" t="s">
        <v>68</v>
      </c>
      <c r="T43" s="335" t="s">
        <v>66</v>
      </c>
      <c r="U43" s="335" t="s">
        <v>67</v>
      </c>
      <c r="V43" s="335" t="s">
        <v>68</v>
      </c>
      <c r="Y43" s="336" t="s">
        <v>464</v>
      </c>
    </row>
    <row r="44" spans="1:25" x14ac:dyDescent="0.2">
      <c r="A44" s="5">
        <v>1</v>
      </c>
      <c r="B44" s="28" t="str">
        <f>IF('Personnel Yr 1'!$J$5&gt;4,IF(NOT(OR(ISBLANK('Personnel Yr 4'!B44),'Personnel Yr 4'!B44="")),'Personnel Yr 4'!B44,""),"")</f>
        <v/>
      </c>
      <c r="C44" s="17" t="str">
        <f>IF('Personnel Yr 1'!$J$5&gt;4,IF(ISBLANK('Personnel Yr 4'!C44),"",'Personnel Yr 4'!C44),"")</f>
        <v/>
      </c>
      <c r="D44" s="17" t="str">
        <f>IF('Personnel Yr 1'!$J$5&gt;4,IF(ISBLANK('Personnel Yr 4'!D44),"",'Personnel Yr 4'!D44),"")</f>
        <v/>
      </c>
      <c r="E44" s="183" t="str">
        <f>IF('Personnel Yr 1'!$J$5&gt;4,IF(ISBLANK('Personnel Yr 4'!E44),"",'Personnel Yr 4'!E44),"")</f>
        <v/>
      </c>
      <c r="F44" s="17" t="str">
        <f>IF('Personnel Yr 1'!$J$5&gt;4,IF(ISBLANK('Personnel Yr 4'!F44),"",'Personnel Yr 4'!F44),"")</f>
        <v/>
      </c>
      <c r="G44" s="176" t="str">
        <f>IF('Personnel Yr 1'!$J$5&gt;4,IF(ISBLANK('Personnel Yr 4'!G44),"",'Personnel Yr 4'!G44),"")</f>
        <v/>
      </c>
      <c r="H44" s="177" t="str">
        <f>IF('Personnel Yr 1'!$J$5&gt;4,IF(NOT(OR(ISBLANK('Personnel Yr 4'!H44),'Personnel Yr 4'!H44="")),(('Personnel Yr 4'!H44*'Personnel Yr 1'!$D$5)+'Personnel Yr 4'!H44),""),"")</f>
        <v/>
      </c>
      <c r="I44" s="17" t="str">
        <f>IF('Personnel Yr 1'!$J$5&gt;4,IF(AND(OR(ISBLANK(H44),H44=""),ISBLANK('Personnel Yr 4'!I44)),"",'Personnel Yr 4'!I44),"")</f>
        <v/>
      </c>
      <c r="J44" s="17" t="str">
        <f>IF('Personnel Yr 1'!$J$5&gt;4,IF(AND(OR(ISBLANK(I44),I44=""),ISBLANK('Personnel Yr 4'!J44)),"",'Personnel Yr 4'!J44),"")</f>
        <v/>
      </c>
      <c r="K44" s="17" t="str">
        <f>IF('Personnel Yr 1'!$J$5&gt;4,IF(AND(OR(ISBLANK(J44),J44=""),ISBLANK('Personnel Yr 4'!K44)),"",'Personnel Yr 4'!K44),"")</f>
        <v/>
      </c>
      <c r="L44" s="45" t="str">
        <f>IF('Personnel Yr 1'!$J$5&gt;4,IF(NOT(OR(ISBLANK(H44),H44="")), IF(OR(AND(ISBLANK(I44),ISBLANK(J44),ISBLANK(K44)),AND(I44="",J44="",K44="")),0, IF((AND((I44&gt;0),((J44+K44)&gt;0))),"Error", IF((I44&gt;0),ROUND((IF(AND('Personnel Yr 1'!$O$5&gt;0,H44&gt;'Personnel Yr 1'!$O$5),'Personnel Yr 1'!$O$5,H44)*(I44/12)),2),ROUND((IF(AND('Personnel Yr 1'!$O$5&gt;0,H44&gt;'Personnel Yr 1'!$O$5),'Personnel Yr 1'!$O$5,H44)*((J44+K44)/8.5)),2)))),""),"")</f>
        <v/>
      </c>
      <c r="M44" s="45" t="str">
        <f>IF('Personnel Yr 1'!$J$5&gt;4,IF(OR(ISBLANK(L44),L44=""),"",ROUND(SUM(T44:V44),2)),"")</f>
        <v/>
      </c>
      <c r="N44" s="46" t="str">
        <f>IF('Personnel Yr 1'!$J$5&gt;4,IF(OR(ISBLANK(M44),M44=""),"",ROUND(SUM(L44:M44),2)),"")</f>
        <v/>
      </c>
      <c r="O44" s="158"/>
      <c r="P44" s="336">
        <f>IF('Personnel Yr 1'!$J$5&gt;4,IF(NOT(OR(ISBLANK(I44),I44="")),(H44/12)*I44,""),0)</f>
        <v>0</v>
      </c>
      <c r="Q44" s="337">
        <f>IF('Personnel Yr 1'!$J$5&gt;4,IF(NOT(OR(ISBLANK(J44),J44="")),(H44/8.5)*J44,""),0)</f>
        <v>0</v>
      </c>
      <c r="R44" s="336">
        <f>IF('Personnel Yr 1'!$J$5&gt;4,IF(NOT(OR(ISBLANK(K44),K44="")),(H44/8.5)*K44,""),0)</f>
        <v>0</v>
      </c>
      <c r="T44" s="336">
        <f t="shared" ref="T44:T58" si="3">IF(OR(ISBLANK(P44),P44=""),0,P44*LOOKUP("Full",Ben,Per))</f>
        <v>0</v>
      </c>
      <c r="U44" s="336">
        <f t="shared" ref="U44:U58" si="4">IF(OR(ISBLANK(Q44),Q44=""),0,Q44*LOOKUP("Full",Ben,Per))</f>
        <v>0</v>
      </c>
      <c r="V44" s="336">
        <f t="shared" ref="V44:V58" si="5">IF(OR(ISBLANK(R44),R44=""),0,R44*LOOKUP("Summer",Ben,Per))</f>
        <v>0</v>
      </c>
      <c r="X44" s="336">
        <v>44</v>
      </c>
      <c r="Y44" s="336" t="b">
        <f>IF('Personnel Yr 1'!$J$5&gt;4,IF(OR($N$5&lt;&gt;"Federal - NIH",OR(AND(ISBLANK(I44),ISBLANK(J44),ISBLANK(K44)),AND(I44="",J44="",K44=""))),FALSE,IF(I44&gt;0,H44&gt;NIHSalaryCap,H44&gt;(NIHSalaryCap*8.5)/12)),FALSE)</f>
        <v>0</v>
      </c>
    </row>
    <row r="45" spans="1:25" x14ac:dyDescent="0.2">
      <c r="A45" s="5">
        <v>2</v>
      </c>
      <c r="B45" s="6" t="str">
        <f>IF('Personnel Yr 1'!$J$5&gt;4,IF(NOT(OR(ISBLANK('Personnel Yr 4'!B45),'Personnel Yr 4'!B45="")),'Personnel Yr 4'!B45,""),"")</f>
        <v/>
      </c>
      <c r="C45" s="22" t="str">
        <f>IF('Personnel Yr 1'!$J$5&gt;4,IF(ISBLANK('Personnel Yr 4'!C45),"",'Personnel Yr 4'!C45),"")</f>
        <v/>
      </c>
      <c r="D45" s="22" t="str">
        <f>IF('Personnel Yr 1'!$J$5&gt;4,IF(ISBLANK('Personnel Yr 4'!D45),"",'Personnel Yr 4'!D45),"")</f>
        <v/>
      </c>
      <c r="E45" s="22" t="str">
        <f>IF('Personnel Yr 1'!$J$5&gt;4,IF(ISBLANK('Personnel Yr 4'!E45),"",'Personnel Yr 4'!E45),"")</f>
        <v/>
      </c>
      <c r="F45" s="22" t="str">
        <f>IF('Personnel Yr 1'!$J$5&gt;4,IF(ISBLANK('Personnel Yr 4'!F45),"",'Personnel Yr 4'!F45),"")</f>
        <v/>
      </c>
      <c r="G45" s="22" t="str">
        <f>IF('Personnel Yr 1'!$J$5&gt;4,IF(ISBLANK('Personnel Yr 4'!G45),"",'Personnel Yr 4'!G45),"")</f>
        <v/>
      </c>
      <c r="H45" s="42" t="str">
        <f>IF('Personnel Yr 1'!$J$5&gt;4,IF(NOT(OR(ISBLANK('Personnel Yr 4'!H45),'Personnel Yr 4'!H45="")),(('Personnel Yr 4'!H45*'Personnel Yr 1'!$D$5)+'Personnel Yr 4'!H45),""),"")</f>
        <v/>
      </c>
      <c r="I45" s="22" t="str">
        <f>IF('Personnel Yr 1'!$J$5&gt;4,IF(AND(OR(ISBLANK(H45),H45=""),ISBLANK('Personnel Yr 4'!I45)),"",'Personnel Yr 4'!I45),"")</f>
        <v/>
      </c>
      <c r="J45" s="22" t="str">
        <f>IF('Personnel Yr 1'!$J$5&gt;4,IF(AND(OR(ISBLANK(I45),I45=""),ISBLANK('Personnel Yr 4'!J45)),"",'Personnel Yr 4'!J45),"")</f>
        <v/>
      </c>
      <c r="K45" s="22" t="str">
        <f>IF('Personnel Yr 1'!$J$5&gt;4,IF(AND(OR(ISBLANK(J45),J45=""),ISBLANK('Personnel Yr 4'!K45)),"",'Personnel Yr 4'!K45),"")</f>
        <v/>
      </c>
      <c r="L45" s="44" t="str">
        <f>IF('Personnel Yr 1'!$J$5&gt;4,IF(NOT(OR(ISBLANK(H45),H45="")), IF(OR(AND(ISBLANK(I45),ISBLANK(J45),ISBLANK(K45)),AND(I45="",J45="",K45="")),0, IF((AND((I45&gt;0),((J45+K45)&gt;0))),"Error", IF((I45&gt;0),ROUND((IF(AND('Personnel Yr 1'!$O$5&gt;0,H45&gt;'Personnel Yr 1'!$O$5),'Personnel Yr 1'!$O$5,H45)*(I45/12)),2),ROUND((IF(AND('Personnel Yr 1'!$O$5&gt;0,H45&gt;'Personnel Yr 1'!$O$5),'Personnel Yr 1'!$O$5,H45)*((J45+K45)/8.5)),2)))),""),"")</f>
        <v/>
      </c>
      <c r="M45" s="44" t="str">
        <f>IF('Personnel Yr 1'!$J$5&gt;4,IF(OR(ISBLANK(L45),L45=""),"",ROUND(SUM(T45:V45),2)),"")</f>
        <v/>
      </c>
      <c r="N45" s="51" t="str">
        <f>IF('Personnel Yr 1'!$J$5&gt;4,IF(OR(ISBLANK(M45),M45=""),"",ROUND(SUM(L45:M45),2)),"")</f>
        <v/>
      </c>
      <c r="O45" s="157"/>
      <c r="P45" s="336">
        <f>IF('Personnel Yr 1'!$J$5&gt;4,IF(NOT(OR(ISBLANK(I45),I45="")),(H45/12)*I45,""),0)</f>
        <v>0</v>
      </c>
      <c r="Q45" s="337">
        <f>IF('Personnel Yr 1'!$J$5&gt;4,IF(NOT(OR(ISBLANK(J45),J45="")),(H45/8.5)*J45,""),0)</f>
        <v>0</v>
      </c>
      <c r="R45" s="336">
        <f>IF('Personnel Yr 1'!$J$5&gt;4,IF(NOT(OR(ISBLANK(K45),K45="")),(H45/8.5)*K45,""),0)</f>
        <v>0</v>
      </c>
      <c r="T45" s="336">
        <f t="shared" si="3"/>
        <v>0</v>
      </c>
      <c r="U45" s="336">
        <f t="shared" si="4"/>
        <v>0</v>
      </c>
      <c r="V45" s="336">
        <f t="shared" si="5"/>
        <v>0</v>
      </c>
      <c r="X45" s="336">
        <v>45</v>
      </c>
      <c r="Y45" s="336" t="b">
        <f>IF('Personnel Yr 1'!$J$5&gt;4,IF(OR($N$5&lt;&gt;"Federal - NIH",OR(AND(ISBLANK(I45),ISBLANK(J45),ISBLANK(K45)),AND(I45="",J45="",K45=""))),FALSE,IF(I45&gt;0,H45&gt;NIHSalaryCap,H45&gt;(NIHSalaryCap*8.5)/12)),FALSE)</f>
        <v>0</v>
      </c>
    </row>
    <row r="46" spans="1:25" x14ac:dyDescent="0.2">
      <c r="A46" s="5">
        <v>3</v>
      </c>
      <c r="B46" s="6" t="str">
        <f>IF('Personnel Yr 1'!$J$5&gt;4,IF(NOT(OR(ISBLANK('Personnel Yr 4'!B46),'Personnel Yr 4'!B46="")),'Personnel Yr 4'!B46,""),"")</f>
        <v/>
      </c>
      <c r="C46" s="22" t="str">
        <f>IF('Personnel Yr 1'!$J$5&gt;4,IF(ISBLANK('Personnel Yr 4'!C46),"",'Personnel Yr 4'!C46),"")</f>
        <v/>
      </c>
      <c r="D46" s="22" t="str">
        <f>IF('Personnel Yr 1'!$J$5&gt;4,IF(ISBLANK('Personnel Yr 4'!D46),"",'Personnel Yr 4'!D46),"")</f>
        <v/>
      </c>
      <c r="E46" s="22" t="str">
        <f>IF('Personnel Yr 1'!$J$5&gt;4,IF(ISBLANK('Personnel Yr 4'!E46),"",'Personnel Yr 4'!E46),"")</f>
        <v/>
      </c>
      <c r="F46" s="22" t="str">
        <f>IF('Personnel Yr 1'!$J$5&gt;4,IF(ISBLANK('Personnel Yr 4'!F46),"",'Personnel Yr 4'!F46),"")</f>
        <v/>
      </c>
      <c r="G46" s="70" t="str">
        <f>IF('Personnel Yr 1'!$J$5&gt;4,IF(ISBLANK('Personnel Yr 4'!G46),"",'Personnel Yr 4'!G46),"")</f>
        <v/>
      </c>
      <c r="H46" s="42" t="str">
        <f>IF('Personnel Yr 1'!$J$5&gt;4,IF(NOT(OR(ISBLANK('Personnel Yr 4'!H46),'Personnel Yr 4'!H46="")),(('Personnel Yr 4'!H46*'Personnel Yr 1'!$D$5)+'Personnel Yr 4'!H46),""),"")</f>
        <v/>
      </c>
      <c r="I46" s="22" t="str">
        <f>IF('Personnel Yr 1'!$J$5&gt;4,IF(AND(OR(ISBLANK(H46),H46=""),ISBLANK('Personnel Yr 4'!I46)),"",'Personnel Yr 4'!I46),"")</f>
        <v/>
      </c>
      <c r="J46" s="22" t="str">
        <f>IF('Personnel Yr 1'!$J$5&gt;4,IF(AND(OR(ISBLANK(I46),I46=""),ISBLANK('Personnel Yr 4'!J46)),"",'Personnel Yr 4'!J46),"")</f>
        <v/>
      </c>
      <c r="K46" s="22" t="str">
        <f>IF('Personnel Yr 1'!$J$5&gt;4,IF(AND(OR(ISBLANK(J46),J46=""),ISBLANK('Personnel Yr 4'!K46)),"",'Personnel Yr 4'!K46),"")</f>
        <v/>
      </c>
      <c r="L46" s="44" t="str">
        <f>IF('Personnel Yr 1'!$J$5&gt;4,IF(NOT(OR(ISBLANK(H46),H46="")), IF(OR(AND(ISBLANK(I46),ISBLANK(J46),ISBLANK(K46)),AND(I46="",J46="",K46="")),0, IF((AND((I46&gt;0),((J46+K46)&gt;0))),"Error", IF((I46&gt;0),ROUND((IF(AND('Personnel Yr 1'!$O$5&gt;0,H46&gt;'Personnel Yr 1'!$O$5),'Personnel Yr 1'!$O$5,H46)*(I46/12)),2),ROUND((IF(AND('Personnel Yr 1'!$O$5&gt;0,H46&gt;'Personnel Yr 1'!$O$5),'Personnel Yr 1'!$O$5,H46)*((J46+K46)/8.5)),2)))),""),"")</f>
        <v/>
      </c>
      <c r="M46" s="44" t="str">
        <f>IF('Personnel Yr 1'!$J$5&gt;4,IF(OR(ISBLANK(L46),L46=""),"",ROUND(SUM(T46:V46),2)),"")</f>
        <v/>
      </c>
      <c r="N46" s="51" t="str">
        <f>IF('Personnel Yr 1'!$J$5&gt;4,IF(OR(ISBLANK(M46),M46=""),"",ROUND(SUM(L46:M46),2)),"")</f>
        <v/>
      </c>
      <c r="O46" s="160"/>
      <c r="P46" s="336">
        <f>IF('Personnel Yr 1'!$J$5&gt;4,IF(NOT(OR(ISBLANK(I46),I46="")),(H46/12)*I46,""),0)</f>
        <v>0</v>
      </c>
      <c r="Q46" s="337">
        <f>IF('Personnel Yr 1'!$J$5&gt;4,IF(NOT(OR(ISBLANK(J46),J46="")),(H46/8.5)*J46,""),0)</f>
        <v>0</v>
      </c>
      <c r="R46" s="336">
        <f>IF('Personnel Yr 1'!$J$5&gt;4,IF(NOT(OR(ISBLANK(K46),K46="")),(H46/8.5)*K46,""),0)</f>
        <v>0</v>
      </c>
      <c r="T46" s="336">
        <f t="shared" si="3"/>
        <v>0</v>
      </c>
      <c r="U46" s="336">
        <f t="shared" si="4"/>
        <v>0</v>
      </c>
      <c r="V46" s="336">
        <f t="shared" si="5"/>
        <v>0</v>
      </c>
      <c r="X46" s="336">
        <v>46</v>
      </c>
      <c r="Y46" s="336" t="b">
        <f>IF('Personnel Yr 1'!$J$5&gt;4,IF(OR($N$5&lt;&gt;"Federal - NIH",OR(AND(ISBLANK(I46),ISBLANK(J46),ISBLANK(K46)),AND(I46="",J46="",K46=""))),FALSE,IF(I46&gt;0,H46&gt;NIHSalaryCap,H46&gt;(NIHSalaryCap*8.5)/12)),FALSE)</f>
        <v>0</v>
      </c>
    </row>
    <row r="47" spans="1:25" x14ac:dyDescent="0.2">
      <c r="A47" s="5">
        <v>4</v>
      </c>
      <c r="B47" s="6" t="str">
        <f>IF('Personnel Yr 1'!$J$5&gt;4,IF(NOT(OR(ISBLANK('Personnel Yr 4'!B47),'Personnel Yr 4'!B47="")),'Personnel Yr 4'!B47,""),"")</f>
        <v/>
      </c>
      <c r="C47" s="22" t="str">
        <f>IF('Personnel Yr 1'!$J$5&gt;4,IF(ISBLANK('Personnel Yr 4'!C47),"",'Personnel Yr 4'!C47),"")</f>
        <v/>
      </c>
      <c r="D47" s="22" t="str">
        <f>IF('Personnel Yr 1'!$J$5&gt;4,IF(ISBLANK('Personnel Yr 4'!D47),"",'Personnel Yr 4'!D47),"")</f>
        <v/>
      </c>
      <c r="E47" s="22" t="str">
        <f>IF('Personnel Yr 1'!$J$5&gt;4,IF(ISBLANK('Personnel Yr 4'!E47),"",'Personnel Yr 4'!E47),"")</f>
        <v/>
      </c>
      <c r="F47" s="22" t="str">
        <f>IF('Personnel Yr 1'!$J$5&gt;4,IF(ISBLANK('Personnel Yr 4'!F47),"",'Personnel Yr 4'!F47),"")</f>
        <v/>
      </c>
      <c r="G47" s="71" t="str">
        <f>IF('Personnel Yr 1'!$J$5&gt;4,IF(ISBLANK('Personnel Yr 4'!G47),"",'Personnel Yr 4'!G47),"")</f>
        <v/>
      </c>
      <c r="H47" s="42" t="str">
        <f>IF('Personnel Yr 1'!$J$5&gt;4,IF(NOT(OR(ISBLANK('Personnel Yr 4'!H47),'Personnel Yr 4'!H47="")),(('Personnel Yr 4'!H47*'Personnel Yr 1'!$D$5)+'Personnel Yr 4'!H47),""),"")</f>
        <v/>
      </c>
      <c r="I47" s="22" t="str">
        <f>IF('Personnel Yr 1'!$J$5&gt;4,IF(AND(OR(ISBLANK(H47),H47=""),ISBLANK('Personnel Yr 4'!I47)),"",'Personnel Yr 4'!I47),"")</f>
        <v/>
      </c>
      <c r="J47" s="22" t="str">
        <f>IF('Personnel Yr 1'!$J$5&gt;4,IF(AND(OR(ISBLANK(I47),I47=""),ISBLANK('Personnel Yr 4'!J47)),"",'Personnel Yr 4'!J47),"")</f>
        <v/>
      </c>
      <c r="K47" s="22" t="str">
        <f>IF('Personnel Yr 1'!$J$5&gt;4,IF(AND(OR(ISBLANK(J47),J47=""),ISBLANK('Personnel Yr 4'!K47)),"",'Personnel Yr 4'!K47),"")</f>
        <v/>
      </c>
      <c r="L47" s="44" t="str">
        <f>IF('Personnel Yr 1'!$J$5&gt;4,IF(NOT(OR(ISBLANK(H47),H47="")), IF(OR(AND(ISBLANK(I47),ISBLANK(J47),ISBLANK(K47)),AND(I47="",J47="",K47="")),0, IF((AND((I47&gt;0),((J47+K47)&gt;0))),"Error", IF((I47&gt;0),ROUND((IF(AND('Personnel Yr 1'!$O$5&gt;0,H47&gt;'Personnel Yr 1'!$O$5),'Personnel Yr 1'!$O$5,H47)*(I47/12)),2),ROUND((IF(AND('Personnel Yr 1'!$O$5&gt;0,H47&gt;'Personnel Yr 1'!$O$5),'Personnel Yr 1'!$O$5,H47)*((J47+K47)/8.5)),2)))),""),"")</f>
        <v/>
      </c>
      <c r="M47" s="44" t="str">
        <f>IF('Personnel Yr 1'!$J$5&gt;4,IF(OR(ISBLANK(L47),L47=""),"",ROUND(SUM(T47:V47),2)),"")</f>
        <v/>
      </c>
      <c r="N47" s="51" t="str">
        <f>IF('Personnel Yr 1'!$J$5&gt;4,IF(OR(ISBLANK(M47),M47=""),"",ROUND(SUM(L47:M47),2)),"")</f>
        <v/>
      </c>
      <c r="O47" s="159"/>
      <c r="P47" s="336">
        <f>IF('Personnel Yr 1'!$J$5&gt;4,IF(NOT(OR(ISBLANK(I47),I47="")),(H47/12)*I47,""),0)</f>
        <v>0</v>
      </c>
      <c r="Q47" s="337">
        <f>IF('Personnel Yr 1'!$J$5&gt;4,IF(NOT(OR(ISBLANK(J47),J47="")),(H47/8.5)*J47,""),0)</f>
        <v>0</v>
      </c>
      <c r="R47" s="336">
        <f>IF('Personnel Yr 1'!$J$5&gt;4,IF(NOT(OR(ISBLANK(K47),K47="")),(H47/8.5)*K47,""),0)</f>
        <v>0</v>
      </c>
      <c r="T47" s="336">
        <f t="shared" si="3"/>
        <v>0</v>
      </c>
      <c r="U47" s="336">
        <f t="shared" si="4"/>
        <v>0</v>
      </c>
      <c r="V47" s="336">
        <f t="shared" si="5"/>
        <v>0</v>
      </c>
      <c r="X47" s="336">
        <v>47</v>
      </c>
      <c r="Y47" s="336" t="b">
        <f>IF('Personnel Yr 1'!$J$5&gt;4,IF(OR($N$5&lt;&gt;"Federal - NIH",OR(AND(ISBLANK(I47),ISBLANK(J47),ISBLANK(K47)),AND(I47="",J47="",K47=""))),FALSE,IF(I47&gt;0,H47&gt;NIHSalaryCap,H47&gt;(NIHSalaryCap*8.5)/12)),FALSE)</f>
        <v>0</v>
      </c>
    </row>
    <row r="48" spans="1:25" x14ac:dyDescent="0.2">
      <c r="A48" s="5">
        <v>5</v>
      </c>
      <c r="B48" s="6" t="str">
        <f>IF('Personnel Yr 1'!$J$5&gt;4,IF(NOT(OR(ISBLANK('Personnel Yr 4'!B48),'Personnel Yr 4'!B48="")),'Personnel Yr 4'!B48,""),"")</f>
        <v/>
      </c>
      <c r="C48" s="22" t="str">
        <f>IF('Personnel Yr 1'!$J$5&gt;4,IF(ISBLANK('Personnel Yr 4'!C48),"",'Personnel Yr 4'!C48),"")</f>
        <v/>
      </c>
      <c r="D48" s="22" t="str">
        <f>IF('Personnel Yr 1'!$J$5&gt;4,IF(ISBLANK('Personnel Yr 4'!D48),"",'Personnel Yr 4'!D48),"")</f>
        <v/>
      </c>
      <c r="E48" s="22" t="str">
        <f>IF('Personnel Yr 1'!$J$5&gt;4,IF(ISBLANK('Personnel Yr 4'!E48),"",'Personnel Yr 4'!E48),"")</f>
        <v/>
      </c>
      <c r="F48" s="22" t="str">
        <f>IF('Personnel Yr 1'!$J$5&gt;4,IF(ISBLANK('Personnel Yr 4'!F48),"",'Personnel Yr 4'!F48),"")</f>
        <v/>
      </c>
      <c r="G48" s="22" t="str">
        <f>IF('Personnel Yr 1'!$J$5&gt;4,IF(ISBLANK('Personnel Yr 4'!G48),"",'Personnel Yr 4'!G48),"")</f>
        <v/>
      </c>
      <c r="H48" s="42" t="str">
        <f>IF('Personnel Yr 1'!$J$5&gt;4,IF(NOT(OR(ISBLANK('Personnel Yr 4'!H48),'Personnel Yr 4'!H48="")),(('Personnel Yr 4'!H48*'Personnel Yr 1'!$D$5)+'Personnel Yr 4'!H48),""),"")</f>
        <v/>
      </c>
      <c r="I48" s="22" t="str">
        <f>IF('Personnel Yr 1'!$J$5&gt;4,IF(AND(OR(ISBLANK(H48),H48=""),ISBLANK('Personnel Yr 4'!I48)),"",'Personnel Yr 4'!I48),"")</f>
        <v/>
      </c>
      <c r="J48" s="22" t="str">
        <f>IF('Personnel Yr 1'!$J$5&gt;4,IF(AND(OR(ISBLANK(I48),I48=""),ISBLANK('Personnel Yr 4'!J48)),"",'Personnel Yr 4'!J48),"")</f>
        <v/>
      </c>
      <c r="K48" s="22" t="str">
        <f>IF('Personnel Yr 1'!$J$5&gt;4,IF(AND(OR(ISBLANK(J48),J48=""),ISBLANK('Personnel Yr 4'!K48)),"",'Personnel Yr 4'!K48),"")</f>
        <v/>
      </c>
      <c r="L48" s="44" t="str">
        <f>IF('Personnel Yr 1'!$J$5&gt;4,IF(NOT(OR(ISBLANK(H48),H48="")), IF(OR(AND(ISBLANK(I48),ISBLANK(J48),ISBLANK(K48)),AND(I48="",J48="",K48="")),0, IF((AND((I48&gt;0),((J48+K48)&gt;0))),"Error", IF((I48&gt;0),ROUND((IF(AND('Personnel Yr 1'!$O$5&gt;0,H48&gt;'Personnel Yr 1'!$O$5),'Personnel Yr 1'!$O$5,H48)*(I48/12)),2),ROUND((IF(AND('Personnel Yr 1'!$O$5&gt;0,H48&gt;'Personnel Yr 1'!$O$5),'Personnel Yr 1'!$O$5,H48)*((J48+K48)/8.5)),2)))),""),"")</f>
        <v/>
      </c>
      <c r="M48" s="44" t="str">
        <f>IF('Personnel Yr 1'!$J$5&gt;4,IF(OR(ISBLANK(L48),L48=""),"",ROUND(SUM(T48:V48),2)),"")</f>
        <v/>
      </c>
      <c r="N48" s="51" t="str">
        <f>IF('Personnel Yr 1'!$J$5&gt;4,IF(OR(ISBLANK(M48),M48=""),"",ROUND(SUM(L48:M48),2)),"")</f>
        <v/>
      </c>
      <c r="O48" s="159"/>
      <c r="P48" s="336">
        <f>IF('Personnel Yr 1'!$J$5&gt;4,IF(NOT(OR(ISBLANK(I48),I48="")),(H48/12)*I48,""),0)</f>
        <v>0</v>
      </c>
      <c r="Q48" s="337">
        <f>IF('Personnel Yr 1'!$J$5&gt;4,IF(NOT(OR(ISBLANK(J48),J48="")),(H48/8.5)*J48,""),0)</f>
        <v>0</v>
      </c>
      <c r="R48" s="336">
        <f>IF('Personnel Yr 1'!$J$5&gt;4,IF(NOT(OR(ISBLANK(K48),K48="")),(H48/8.5)*K48,""),0)</f>
        <v>0</v>
      </c>
      <c r="T48" s="336">
        <f t="shared" si="3"/>
        <v>0</v>
      </c>
      <c r="U48" s="336">
        <f t="shared" si="4"/>
        <v>0</v>
      </c>
      <c r="V48" s="336">
        <f t="shared" si="5"/>
        <v>0</v>
      </c>
      <c r="X48" s="336">
        <v>48</v>
      </c>
      <c r="Y48" s="336" t="b">
        <f>IF('Personnel Yr 1'!$J$5&gt;4,IF(OR($N$5&lt;&gt;"Federal - NIH",OR(AND(ISBLANK(I48),ISBLANK(J48),ISBLANK(K48)),AND(I48="",J48="",K48=""))),FALSE,IF(I48&gt;0,H48&gt;NIHSalaryCap,H48&gt;(NIHSalaryCap*8.5)/12)),FALSE)</f>
        <v>0</v>
      </c>
    </row>
    <row r="49" spans="1:25" x14ac:dyDescent="0.2">
      <c r="A49" s="5">
        <v>6</v>
      </c>
      <c r="B49" s="6" t="str">
        <f>IF('Personnel Yr 1'!$J$5&gt;4,IF(NOT(OR(ISBLANK('Personnel Yr 4'!B49),'Personnel Yr 4'!B49="")),'Personnel Yr 4'!B49,""),"")</f>
        <v/>
      </c>
      <c r="C49" s="22" t="str">
        <f>IF('Personnel Yr 1'!$J$5&gt;4,IF(ISBLANK('Personnel Yr 4'!C49),"",'Personnel Yr 4'!C49),"")</f>
        <v/>
      </c>
      <c r="D49" s="22" t="str">
        <f>IF('Personnel Yr 1'!$J$5&gt;4,IF(ISBLANK('Personnel Yr 4'!D49),"",'Personnel Yr 4'!D49),"")</f>
        <v/>
      </c>
      <c r="E49" s="22" t="str">
        <f>IF('Personnel Yr 1'!$J$5&gt;4,IF(ISBLANK('Personnel Yr 4'!E49),"",'Personnel Yr 4'!E49),"")</f>
        <v/>
      </c>
      <c r="F49" s="22" t="str">
        <f>IF('Personnel Yr 1'!$J$5&gt;4,IF(ISBLANK('Personnel Yr 4'!F49),"",'Personnel Yr 4'!F49),"")</f>
        <v/>
      </c>
      <c r="G49" s="22" t="str">
        <f>IF('Personnel Yr 1'!$J$5&gt;4,IF(ISBLANK('Personnel Yr 4'!G49),"",'Personnel Yr 4'!G49),"")</f>
        <v/>
      </c>
      <c r="H49" s="42" t="str">
        <f>IF('Personnel Yr 1'!$J$5&gt;4,IF(NOT(OR(ISBLANK('Personnel Yr 4'!H49),'Personnel Yr 4'!H49="")),(('Personnel Yr 4'!H49*'Personnel Yr 1'!$D$5)+'Personnel Yr 4'!H49),""),"")</f>
        <v/>
      </c>
      <c r="I49" s="22" t="str">
        <f>IF('Personnel Yr 1'!$J$5&gt;4,IF(AND(OR(ISBLANK(H49),H49=""),ISBLANK('Personnel Yr 4'!I49)),"",'Personnel Yr 4'!I49),"")</f>
        <v/>
      </c>
      <c r="J49" s="22" t="str">
        <f>IF('Personnel Yr 1'!$J$5&gt;4,IF(AND(OR(ISBLANK(I49),I49=""),ISBLANK('Personnel Yr 4'!J49)),"",'Personnel Yr 4'!J49),"")</f>
        <v/>
      </c>
      <c r="K49" s="22" t="str">
        <f>IF('Personnel Yr 1'!$J$5&gt;4,IF(AND(OR(ISBLANK(J49),J49=""),ISBLANK('Personnel Yr 4'!K49)),"",'Personnel Yr 4'!K49),"")</f>
        <v/>
      </c>
      <c r="L49" s="44" t="str">
        <f>IF('Personnel Yr 1'!$J$5&gt;4,IF(NOT(OR(ISBLANK(H49),H49="")), IF(OR(AND(ISBLANK(I49),ISBLANK(J49),ISBLANK(K49)),AND(I49="",J49="",K49="")),0, IF((AND((I49&gt;0),((J49+K49)&gt;0))),"Error", IF((I49&gt;0),ROUND((IF(AND('Personnel Yr 1'!$O$5&gt;0,H49&gt;'Personnel Yr 1'!$O$5),'Personnel Yr 1'!$O$5,H49)*(I49/12)),2),ROUND((IF(AND('Personnel Yr 1'!$O$5&gt;0,H49&gt;'Personnel Yr 1'!$O$5),'Personnel Yr 1'!$O$5,H49)*((J49+K49)/8.5)),2)))),""),"")</f>
        <v/>
      </c>
      <c r="M49" s="44" t="str">
        <f>IF('Personnel Yr 1'!$J$5&gt;4,IF(OR(ISBLANK(L49),L49=""),"",ROUND(SUM(T49:V49),2)),"")</f>
        <v/>
      </c>
      <c r="N49" s="51" t="str">
        <f>IF('Personnel Yr 1'!$J$5&gt;4,IF(OR(ISBLANK(M49),M49=""),"",ROUND(SUM(L49:M49),2)),"")</f>
        <v/>
      </c>
      <c r="O49" s="157"/>
      <c r="P49" s="336">
        <f>IF('Personnel Yr 1'!$J$5&gt;4,IF(NOT(OR(ISBLANK(I49),I49="")),(H49/12)*I49,""),0)</f>
        <v>0</v>
      </c>
      <c r="Q49" s="337">
        <f>IF('Personnel Yr 1'!$J$5&gt;4,IF(NOT(OR(ISBLANK(J49),J49="")),(H49/8.5)*J49,""),0)</f>
        <v>0</v>
      </c>
      <c r="R49" s="336">
        <f>IF('Personnel Yr 1'!$J$5&gt;4,IF(NOT(OR(ISBLANK(K49),K49="")),(H49/8.5)*K49,""),0)</f>
        <v>0</v>
      </c>
      <c r="T49" s="336">
        <f t="shared" si="3"/>
        <v>0</v>
      </c>
      <c r="U49" s="336">
        <f t="shared" si="4"/>
        <v>0</v>
      </c>
      <c r="V49" s="336">
        <f t="shared" si="5"/>
        <v>0</v>
      </c>
      <c r="X49" s="336">
        <v>49</v>
      </c>
      <c r="Y49" s="336" t="b">
        <f>IF('Personnel Yr 1'!$J$5&gt;4,IF(OR($N$5&lt;&gt;"Federal - NIH",OR(AND(ISBLANK(I49),ISBLANK(J49),ISBLANK(K49)),AND(I49="",J49="",K49=""))),FALSE,IF(I49&gt;0,H49&gt;NIHSalaryCap,H49&gt;(NIHSalaryCap*8.5)/12)),FALSE)</f>
        <v>0</v>
      </c>
    </row>
    <row r="50" spans="1:25" x14ac:dyDescent="0.2">
      <c r="A50" s="5">
        <v>7</v>
      </c>
      <c r="B50" s="6" t="str">
        <f>IF('Personnel Yr 1'!$J$5&gt;4,IF(NOT(OR(ISBLANK('Personnel Yr 4'!B50),'Personnel Yr 4'!B50="")),'Personnel Yr 4'!B50,""),"")</f>
        <v/>
      </c>
      <c r="C50" s="22" t="str">
        <f>IF('Personnel Yr 1'!$J$5&gt;4,IF(ISBLANK('Personnel Yr 4'!C50),"",'Personnel Yr 4'!C50),"")</f>
        <v/>
      </c>
      <c r="D50" s="22" t="str">
        <f>IF('Personnel Yr 1'!$J$5&gt;4,IF(ISBLANK('Personnel Yr 4'!D50),"",'Personnel Yr 4'!D50),"")</f>
        <v/>
      </c>
      <c r="E50" s="22" t="str">
        <f>IF('Personnel Yr 1'!$J$5&gt;4,IF(ISBLANK('Personnel Yr 4'!E50),"",'Personnel Yr 4'!E50),"")</f>
        <v/>
      </c>
      <c r="F50" s="22" t="str">
        <f>IF('Personnel Yr 1'!$J$5&gt;4,IF(ISBLANK('Personnel Yr 4'!F50),"",'Personnel Yr 4'!F50),"")</f>
        <v/>
      </c>
      <c r="G50" s="22" t="str">
        <f>IF('Personnel Yr 1'!$J$5&gt;4,IF(ISBLANK('Personnel Yr 4'!G50),"",'Personnel Yr 4'!G50),"")</f>
        <v/>
      </c>
      <c r="H50" s="42" t="str">
        <f>IF('Personnel Yr 1'!$J$5&gt;4,IF(NOT(OR(ISBLANK('Personnel Yr 4'!H50),'Personnel Yr 4'!H50="")),(('Personnel Yr 4'!H50*'Personnel Yr 1'!$D$5)+'Personnel Yr 4'!H50),""),"")</f>
        <v/>
      </c>
      <c r="I50" s="22" t="str">
        <f>IF('Personnel Yr 1'!$J$5&gt;4,IF(AND(OR(ISBLANK(H50),H50=""),ISBLANK('Personnel Yr 4'!I50)),"",'Personnel Yr 4'!I50),"")</f>
        <v/>
      </c>
      <c r="J50" s="22" t="str">
        <f>IF('Personnel Yr 1'!$J$5&gt;4,IF(AND(OR(ISBLANK(I50),I50=""),ISBLANK('Personnel Yr 4'!J50)),"",'Personnel Yr 4'!J50),"")</f>
        <v/>
      </c>
      <c r="K50" s="22" t="str">
        <f>IF('Personnel Yr 1'!$J$5&gt;4,IF(AND(OR(ISBLANK(J50),J50=""),ISBLANK('Personnel Yr 4'!K50)),"",'Personnel Yr 4'!K50),"")</f>
        <v/>
      </c>
      <c r="L50" s="44" t="str">
        <f>IF('Personnel Yr 1'!$J$5&gt;4,IF(NOT(OR(ISBLANK(H50),H50="")), IF(OR(AND(ISBLANK(I50),ISBLANK(J50),ISBLANK(K50)),AND(I50="",J50="",K50="")),0, IF((AND((I50&gt;0),((J50+K50)&gt;0))),"Error", IF((I50&gt;0),ROUND((IF(AND('Personnel Yr 1'!$O$5&gt;0,H50&gt;'Personnel Yr 1'!$O$5),'Personnel Yr 1'!$O$5,H50)*(I50/12)),2),ROUND((IF(AND('Personnel Yr 1'!$O$5&gt;0,H50&gt;'Personnel Yr 1'!$O$5),'Personnel Yr 1'!$O$5,H50)*((J50+K50)/8.5)),2)))),""),"")</f>
        <v/>
      </c>
      <c r="M50" s="44" t="str">
        <f>IF('Personnel Yr 1'!$J$5&gt;4,IF(OR(ISBLANK(L50),L50=""),"",ROUND(SUM(T50:V50),2)),"")</f>
        <v/>
      </c>
      <c r="N50" s="51" t="str">
        <f>IF('Personnel Yr 1'!$J$5&gt;4,IF(OR(ISBLANK(M50),M50=""),"",ROUND(SUM(L50:M50),2)),"")</f>
        <v/>
      </c>
      <c r="O50" s="159"/>
      <c r="P50" s="336">
        <f>IF('Personnel Yr 1'!$J$5&gt;4,IF(NOT(OR(ISBLANK(I50),I50="")),(H50/12)*I50,""),0)</f>
        <v>0</v>
      </c>
      <c r="Q50" s="337">
        <f>IF('Personnel Yr 1'!$J$5&gt;4,IF(NOT(OR(ISBLANK(J50),J50="")),(H50/8.5)*J50,""),0)</f>
        <v>0</v>
      </c>
      <c r="R50" s="336">
        <f>IF('Personnel Yr 1'!$J$5&gt;4,IF(NOT(OR(ISBLANK(K50),K50="")),(H50/8.5)*K50,""),0)</f>
        <v>0</v>
      </c>
      <c r="T50" s="336">
        <f t="shared" si="3"/>
        <v>0</v>
      </c>
      <c r="U50" s="336">
        <f t="shared" si="4"/>
        <v>0</v>
      </c>
      <c r="V50" s="336">
        <f t="shared" si="5"/>
        <v>0</v>
      </c>
      <c r="X50" s="336">
        <v>50</v>
      </c>
      <c r="Y50" s="336" t="b">
        <f>IF('Personnel Yr 1'!$J$5&gt;4,IF(OR($N$5&lt;&gt;"Federal - NIH",OR(AND(ISBLANK(I50),ISBLANK(J50),ISBLANK(K50)),AND(I50="",J50="",K50=""))),FALSE,IF(I50&gt;0,H50&gt;NIHSalaryCap,H50&gt;(NIHSalaryCap*8.5)/12)),FALSE)</f>
        <v>0</v>
      </c>
    </row>
    <row r="51" spans="1:25" x14ac:dyDescent="0.2">
      <c r="A51" s="5">
        <v>8</v>
      </c>
      <c r="B51" s="75" t="str">
        <f>IF('Personnel Yr 1'!$J$5&gt;4,IF(NOT(OR(ISBLANK('Personnel Yr 4'!B51),'Personnel Yr 4'!B51="")),'Personnel Yr 4'!B51,""),"")</f>
        <v/>
      </c>
      <c r="C51" s="69" t="str">
        <f>IF('Personnel Yr 1'!$J$5&gt;4,IF(ISBLANK('Personnel Yr 4'!C51),"",'Personnel Yr 4'!C51),"")</f>
        <v/>
      </c>
      <c r="D51" s="69" t="str">
        <f>IF('Personnel Yr 1'!$J$5&gt;4,IF(ISBLANK('Personnel Yr 4'!D51),"",'Personnel Yr 4'!D51),"")</f>
        <v/>
      </c>
      <c r="E51" s="69" t="str">
        <f>IF('Personnel Yr 1'!$J$5&gt;4,IF(ISBLANK('Personnel Yr 4'!E51),"",'Personnel Yr 4'!E51),"")</f>
        <v/>
      </c>
      <c r="F51" s="69" t="str">
        <f>IF('Personnel Yr 1'!$J$5&gt;4,IF(ISBLANK('Personnel Yr 4'!F51),"",'Personnel Yr 4'!F51),"")</f>
        <v/>
      </c>
      <c r="G51" s="69" t="str">
        <f>IF('Personnel Yr 1'!$J$5&gt;4,IF(ISBLANK('Personnel Yr 4'!G51),"",'Personnel Yr 4'!G51),"")</f>
        <v/>
      </c>
      <c r="H51" s="42" t="str">
        <f>IF('Personnel Yr 1'!$J$5&gt;4,IF(NOT(OR(ISBLANK('Personnel Yr 4'!H51),'Personnel Yr 4'!H51="")),(('Personnel Yr 4'!H51*'Personnel Yr 1'!$D$5)+'Personnel Yr 4'!H51),""),"")</f>
        <v/>
      </c>
      <c r="I51" s="22" t="str">
        <f>IF('Personnel Yr 1'!$J$5&gt;4,IF(AND(OR(ISBLANK(H51),H51=""),ISBLANK('Personnel Yr 4'!I51)),"",'Personnel Yr 4'!I51),"")</f>
        <v/>
      </c>
      <c r="J51" s="22" t="str">
        <f>IF('Personnel Yr 1'!$J$5&gt;4,IF(AND(OR(ISBLANK(I51),I51=""),ISBLANK('Personnel Yr 4'!J51)),"",'Personnel Yr 4'!J51),"")</f>
        <v/>
      </c>
      <c r="K51" s="22" t="str">
        <f>IF('Personnel Yr 1'!$J$5&gt;4,IF(AND(OR(ISBLANK(J51),J51=""),ISBLANK('Personnel Yr 4'!K51)),"",'Personnel Yr 4'!K51),"")</f>
        <v/>
      </c>
      <c r="L51" s="44" t="str">
        <f>IF('Personnel Yr 1'!$J$5&gt;4,IF(NOT(OR(ISBLANK(H51),H51="")), IF(OR(AND(ISBLANK(I51),ISBLANK(J51),ISBLANK(K51)),AND(I51="",J51="",K51="")),0, IF((AND((I51&gt;0),((J51+K51)&gt;0))),"Error", IF((I51&gt;0),ROUND((IF(AND('Personnel Yr 1'!$O$5&gt;0,H51&gt;'Personnel Yr 1'!$O$5),'Personnel Yr 1'!$O$5,H51)*(I51/12)),2),ROUND((IF(AND('Personnel Yr 1'!$O$5&gt;0,H51&gt;'Personnel Yr 1'!$O$5),'Personnel Yr 1'!$O$5,H51)*((J51+K51)/8.5)),2)))),""),"")</f>
        <v/>
      </c>
      <c r="M51" s="49" t="str">
        <f>IF('Personnel Yr 1'!$J$5&gt;4,IF(OR(ISBLANK(L51),L51=""),"",ROUND(SUM(T51:V51),2)),"")</f>
        <v/>
      </c>
      <c r="N51" s="50" t="str">
        <f>IF('Personnel Yr 1'!$J$5&gt;4,IF(OR(ISBLANK(M51),M51=""),"",ROUND(SUM(L51:M51),2)),"")</f>
        <v/>
      </c>
      <c r="O51" s="182"/>
      <c r="P51" s="336">
        <f>IF('Personnel Yr 1'!$J$5&gt;4,IF(NOT(OR(ISBLANK(I51),I51="")),(H51/12)*I51,""),0)</f>
        <v>0</v>
      </c>
      <c r="Q51" s="337">
        <f>IF('Personnel Yr 1'!$J$5&gt;4,IF(NOT(OR(ISBLANK(J51),J51="")),(H51/8.5)*J51,""),0)</f>
        <v>0</v>
      </c>
      <c r="R51" s="336">
        <f>IF('Personnel Yr 1'!$J$5&gt;4,IF(NOT(OR(ISBLANK(K51),K51="")),(H51/8.5)*K51,""),0)</f>
        <v>0</v>
      </c>
      <c r="T51" s="336">
        <f t="shared" si="3"/>
        <v>0</v>
      </c>
      <c r="U51" s="336">
        <f t="shared" si="4"/>
        <v>0</v>
      </c>
      <c r="V51" s="336">
        <f t="shared" si="5"/>
        <v>0</v>
      </c>
      <c r="X51" s="336">
        <v>51</v>
      </c>
      <c r="Y51" s="336" t="b">
        <f>IF('Personnel Yr 1'!$J$5&gt;4,IF(OR($N$5&lt;&gt;"Federal - NIH",OR(AND(ISBLANK(I51),ISBLANK(J51),ISBLANK(K51)),AND(I51="",J51="",K51=""))),FALSE,IF(I51&gt;0,H51&gt;NIHSalaryCap,H51&gt;(NIHSalaryCap*8.5)/12)),FALSE)</f>
        <v>0</v>
      </c>
    </row>
    <row r="52" spans="1:25" x14ac:dyDescent="0.2">
      <c r="A52" s="5">
        <v>9</v>
      </c>
      <c r="B52" s="6" t="str">
        <f>IF('Personnel Yr 1'!$J$5&gt;4,IF(NOT(OR(ISBLANK('Personnel Yr 4'!B52),'Personnel Yr 4'!B52="")),'Personnel Yr 4'!B52,""),"")</f>
        <v/>
      </c>
      <c r="C52" s="22" t="str">
        <f>IF('Personnel Yr 1'!$J$5&gt;4,IF(ISBLANK('Personnel Yr 4'!C52),"",'Personnel Yr 4'!C52),"")</f>
        <v/>
      </c>
      <c r="D52" s="22" t="str">
        <f>IF('Personnel Yr 1'!$J$5&gt;4,IF(ISBLANK('Personnel Yr 4'!D52),"",'Personnel Yr 4'!D52),"")</f>
        <v/>
      </c>
      <c r="E52" s="22" t="str">
        <f>IF('Personnel Yr 1'!$J$5&gt;4,IF(ISBLANK('Personnel Yr 4'!E52),"",'Personnel Yr 4'!E52),"")</f>
        <v/>
      </c>
      <c r="F52" s="22" t="str">
        <f>IF('Personnel Yr 1'!$J$5&gt;4,IF(ISBLANK('Personnel Yr 4'!F52),"",'Personnel Yr 4'!F52),"")</f>
        <v/>
      </c>
      <c r="G52" s="71" t="str">
        <f>IF('Personnel Yr 1'!$J$5&gt;4,IF(ISBLANK('Personnel Yr 4'!G52),"",'Personnel Yr 4'!G52),"")</f>
        <v/>
      </c>
      <c r="H52" s="42" t="str">
        <f>IF('Personnel Yr 1'!$J$5&gt;4,IF(NOT(OR(ISBLANK('Personnel Yr 4'!H52),'Personnel Yr 4'!H52="")),(('Personnel Yr 4'!H52*'Personnel Yr 1'!$D$5)+'Personnel Yr 4'!H52),""),"")</f>
        <v/>
      </c>
      <c r="I52" s="22" t="str">
        <f>IF('Personnel Yr 1'!$J$5&gt;4,IF(AND(OR(ISBLANK(H52),H52=""),ISBLANK('Personnel Yr 4'!I52)),"",'Personnel Yr 4'!I52),"")</f>
        <v/>
      </c>
      <c r="J52" s="22" t="str">
        <f>IF('Personnel Yr 1'!$J$5&gt;4,IF(AND(OR(ISBLANK(I52),I52=""),ISBLANK('Personnel Yr 4'!J52)),"",'Personnel Yr 4'!J52),"")</f>
        <v/>
      </c>
      <c r="K52" s="22" t="str">
        <f>IF('Personnel Yr 1'!$J$5&gt;4,IF(AND(OR(ISBLANK(J52),J52=""),ISBLANK('Personnel Yr 4'!K52)),"",'Personnel Yr 4'!K52),"")</f>
        <v/>
      </c>
      <c r="L52" s="44" t="str">
        <f>IF('Personnel Yr 1'!$J$5&gt;4,IF(NOT(OR(ISBLANK(H52),H52="")), IF(OR(AND(ISBLANK(I52),ISBLANK(J52),ISBLANK(K52)),AND(I52="",J52="",K52="")),0, IF((AND((I52&gt;0),((J52+K52)&gt;0))),"Error", IF((I52&gt;0),ROUND((IF(AND('Personnel Yr 1'!$O$5&gt;0,H52&gt;'Personnel Yr 1'!$O$5),'Personnel Yr 1'!$O$5,H52)*(I52/12)),2),ROUND((IF(AND('Personnel Yr 1'!$O$5&gt;0,H52&gt;'Personnel Yr 1'!$O$5),'Personnel Yr 1'!$O$5,H52)*((J52+K52)/8.5)),2)))),""),"")</f>
        <v/>
      </c>
      <c r="M52" s="44" t="str">
        <f>IF('Personnel Yr 1'!$J$5&gt;4,IF(OR(ISBLANK(L52),L52=""),"",ROUND(SUM(T52:V52),2)),"")</f>
        <v/>
      </c>
      <c r="N52" s="51" t="str">
        <f>IF('Personnel Yr 1'!$J$5&gt;4,IF(OR(ISBLANK(M52),M52=""),"",ROUND(SUM(L52:M52),2)),"")</f>
        <v/>
      </c>
      <c r="O52" s="159"/>
      <c r="P52" s="336">
        <f>IF('Personnel Yr 1'!$J$5&gt;4,IF(NOT(OR(ISBLANK(I52),I52="")),(H52/12)*I52,""),0)</f>
        <v>0</v>
      </c>
      <c r="Q52" s="337">
        <f>IF('Personnel Yr 1'!$J$5&gt;4,IF(NOT(OR(ISBLANK(J52),J52="")),(H52/8.5)*J52,""),0)</f>
        <v>0</v>
      </c>
      <c r="R52" s="336">
        <f>IF('Personnel Yr 1'!$J$5&gt;4,IF(NOT(OR(ISBLANK(K52),K52="")),(H52/8.5)*K52,""),0)</f>
        <v>0</v>
      </c>
      <c r="T52" s="336">
        <f t="shared" si="3"/>
        <v>0</v>
      </c>
      <c r="U52" s="336">
        <f t="shared" si="4"/>
        <v>0</v>
      </c>
      <c r="V52" s="336">
        <f t="shared" si="5"/>
        <v>0</v>
      </c>
      <c r="X52" s="336">
        <v>52</v>
      </c>
      <c r="Y52" s="336" t="b">
        <f>IF('Personnel Yr 1'!$J$5&gt;4,IF(OR($N$5&lt;&gt;"Federal - NIH",OR(AND(ISBLANK(I52),ISBLANK(J52),ISBLANK(K52)),AND(I52="",J52="",K52=""))),FALSE,IF(I52&gt;0,H52&gt;NIHSalaryCap,H52&gt;(NIHSalaryCap*8.5)/12)),FALSE)</f>
        <v>0</v>
      </c>
    </row>
    <row r="53" spans="1:25" x14ac:dyDescent="0.2">
      <c r="A53" s="5">
        <v>10</v>
      </c>
      <c r="B53" s="6" t="str">
        <f>IF('Personnel Yr 1'!$J$5&gt;4,IF(NOT(OR(ISBLANK('Personnel Yr 4'!B53),'Personnel Yr 4'!B53="")),'Personnel Yr 4'!B53,""),"")</f>
        <v/>
      </c>
      <c r="C53" s="22" t="str">
        <f>IF('Personnel Yr 1'!$J$5&gt;4,IF(ISBLANK('Personnel Yr 4'!C53),"",'Personnel Yr 4'!C53),"")</f>
        <v/>
      </c>
      <c r="D53" s="22" t="str">
        <f>IF('Personnel Yr 1'!$J$5&gt;4,IF(ISBLANK('Personnel Yr 4'!D53),"",'Personnel Yr 4'!D53),"")</f>
        <v/>
      </c>
      <c r="E53" s="22" t="str">
        <f>IF('Personnel Yr 1'!$J$5&gt;4,IF(ISBLANK('Personnel Yr 4'!E53),"",'Personnel Yr 4'!E53),"")</f>
        <v/>
      </c>
      <c r="F53" s="22" t="str">
        <f>IF('Personnel Yr 1'!$J$5&gt;4,IF(ISBLANK('Personnel Yr 4'!F53),"",'Personnel Yr 4'!F53),"")</f>
        <v/>
      </c>
      <c r="G53" s="22" t="str">
        <f>IF('Personnel Yr 1'!$J$5&gt;4,IF(ISBLANK('Personnel Yr 4'!G53),"",'Personnel Yr 4'!G53),"")</f>
        <v/>
      </c>
      <c r="H53" s="42" t="str">
        <f>IF('Personnel Yr 1'!$J$5&gt;4,IF(NOT(OR(ISBLANK('Personnel Yr 4'!H53),'Personnel Yr 4'!H53="")),(('Personnel Yr 4'!H53*'Personnel Yr 1'!$D$5)+'Personnel Yr 4'!H53),""),"")</f>
        <v/>
      </c>
      <c r="I53" s="22" t="str">
        <f>IF('Personnel Yr 1'!$J$5&gt;4,IF(AND(OR(ISBLANK(H53),H53=""),ISBLANK('Personnel Yr 4'!I53)),"",'Personnel Yr 4'!I53),"")</f>
        <v/>
      </c>
      <c r="J53" s="22" t="str">
        <f>IF('Personnel Yr 1'!$J$5&gt;4,IF(AND(OR(ISBLANK(I53),I53=""),ISBLANK('Personnel Yr 4'!J53)),"",'Personnel Yr 4'!J53),"")</f>
        <v/>
      </c>
      <c r="K53" s="22" t="str">
        <f>IF('Personnel Yr 1'!$J$5&gt;4,IF(AND(OR(ISBLANK(J53),J53=""),ISBLANK('Personnel Yr 4'!K53)),"",'Personnel Yr 4'!K53),"")</f>
        <v/>
      </c>
      <c r="L53" s="44" t="str">
        <f>IF('Personnel Yr 1'!$J$5&gt;4,IF(NOT(OR(ISBLANK(H53),H53="")), IF(OR(AND(ISBLANK(I53),ISBLANK(J53),ISBLANK(K53)),AND(I53="",J53="",K53="")),0, IF((AND((I53&gt;0),((J53+K53)&gt;0))),"Error", IF((I53&gt;0),ROUND((IF(AND('Personnel Yr 1'!$O$5&gt;0,H53&gt;'Personnel Yr 1'!$O$5),'Personnel Yr 1'!$O$5,H53)*(I53/12)),2),ROUND((IF(AND('Personnel Yr 1'!$O$5&gt;0,H53&gt;'Personnel Yr 1'!$O$5),'Personnel Yr 1'!$O$5,H53)*((J53+K53)/8.5)),2)))),""),"")</f>
        <v/>
      </c>
      <c r="M53" s="44" t="str">
        <f>IF('Personnel Yr 1'!$J$5&gt;4,IF(OR(ISBLANK(L53),L53=""),"",ROUND(SUM(T53:V53),2)),"")</f>
        <v/>
      </c>
      <c r="N53" s="51" t="str">
        <f>IF('Personnel Yr 1'!$J$5&gt;4,IF(OR(ISBLANK(M53),M53=""),"",ROUND(SUM(L53:M53),2)),"")</f>
        <v/>
      </c>
      <c r="O53" s="159"/>
      <c r="P53" s="336">
        <f>IF('Personnel Yr 1'!$J$5&gt;4,IF(NOT(OR(ISBLANK(I53),I53="")),(H53/12)*I53,""),0)</f>
        <v>0</v>
      </c>
      <c r="Q53" s="337">
        <f>IF('Personnel Yr 1'!$J$5&gt;4,IF(NOT(OR(ISBLANK(J53),J53="")),(H53/8.5)*J53,""),0)</f>
        <v>0</v>
      </c>
      <c r="R53" s="336">
        <f>IF('Personnel Yr 1'!$J$5&gt;4,IF(NOT(OR(ISBLANK(K53),K53="")),(H53/8.5)*K53,""),0)</f>
        <v>0</v>
      </c>
      <c r="T53" s="336">
        <f t="shared" si="3"/>
        <v>0</v>
      </c>
      <c r="U53" s="336">
        <f t="shared" si="4"/>
        <v>0</v>
      </c>
      <c r="V53" s="336">
        <f t="shared" si="5"/>
        <v>0</v>
      </c>
      <c r="X53" s="336">
        <v>53</v>
      </c>
      <c r="Y53" s="336" t="b">
        <f>IF('Personnel Yr 1'!$J$5&gt;4,IF(OR($N$5&lt;&gt;"Federal - NIH",OR(AND(ISBLANK(I53),ISBLANK(J53),ISBLANK(K53)),AND(I53="",J53="",K53=""))),FALSE,IF(I53&gt;0,H53&gt;NIHSalaryCap,H53&gt;(NIHSalaryCap*8.5)/12)),FALSE)</f>
        <v>0</v>
      </c>
    </row>
    <row r="54" spans="1:25" x14ac:dyDescent="0.2">
      <c r="A54" s="5">
        <v>11</v>
      </c>
      <c r="B54" s="6" t="str">
        <f>IF('Personnel Yr 1'!$J$5&gt;4,IF(NOT(OR(ISBLANK('Personnel Yr 4'!B54),'Personnel Yr 4'!B54="")),'Personnel Yr 4'!B54,""),"")</f>
        <v/>
      </c>
      <c r="C54" s="22" t="str">
        <f>IF('Personnel Yr 1'!$J$5&gt;4,IF(ISBLANK('Personnel Yr 4'!C54),"",'Personnel Yr 4'!C54),"")</f>
        <v/>
      </c>
      <c r="D54" s="22" t="str">
        <f>IF('Personnel Yr 1'!$J$5&gt;4,IF(ISBLANK('Personnel Yr 4'!D54),"",'Personnel Yr 4'!D54),"")</f>
        <v/>
      </c>
      <c r="E54" s="22" t="str">
        <f>IF('Personnel Yr 1'!$J$5&gt;4,IF(ISBLANK('Personnel Yr 4'!E54),"",'Personnel Yr 4'!E54),"")</f>
        <v/>
      </c>
      <c r="F54" s="22" t="str">
        <f>IF('Personnel Yr 1'!$J$5&gt;4,IF(ISBLANK('Personnel Yr 4'!F54),"",'Personnel Yr 4'!F54),"")</f>
        <v/>
      </c>
      <c r="G54" s="22" t="str">
        <f>IF('Personnel Yr 1'!$J$5&gt;4,IF(ISBLANK('Personnel Yr 4'!G54),"",'Personnel Yr 4'!G54),"")</f>
        <v/>
      </c>
      <c r="H54" s="42" t="str">
        <f>IF('Personnel Yr 1'!$J$5&gt;4,IF(NOT(OR(ISBLANK('Personnel Yr 4'!H54),'Personnel Yr 4'!H54="")),(('Personnel Yr 4'!H54*'Personnel Yr 1'!$D$5)+'Personnel Yr 4'!H54),""),"")</f>
        <v/>
      </c>
      <c r="I54" s="22" t="str">
        <f>IF('Personnel Yr 1'!$J$5&gt;4,IF(AND(OR(ISBLANK(H54),H54=""),ISBLANK('Personnel Yr 4'!I54)),"",'Personnel Yr 4'!I54),"")</f>
        <v/>
      </c>
      <c r="J54" s="22" t="str">
        <f>IF('Personnel Yr 1'!$J$5&gt;4,IF(AND(OR(ISBLANK(I54),I54=""),ISBLANK('Personnel Yr 4'!J54)),"",'Personnel Yr 4'!J54),"")</f>
        <v/>
      </c>
      <c r="K54" s="22" t="str">
        <f>IF('Personnel Yr 1'!$J$5&gt;4,IF(AND(OR(ISBLANK(J54),J54=""),ISBLANK('Personnel Yr 4'!K54)),"",'Personnel Yr 4'!K54),"")</f>
        <v/>
      </c>
      <c r="L54" s="44" t="str">
        <f>IF('Personnel Yr 1'!$J$5&gt;4,IF(NOT(OR(ISBLANK(H54),H54="")), IF(OR(AND(ISBLANK(I54),ISBLANK(J54),ISBLANK(K54)),AND(I54="",J54="",K54="")),0, IF((AND((I54&gt;0),((J54+K54)&gt;0))),"Error", IF((I54&gt;0),ROUND((IF(AND('Personnel Yr 1'!$O$5&gt;0,H54&gt;'Personnel Yr 1'!$O$5),'Personnel Yr 1'!$O$5,H54)*(I54/12)),2),ROUND((IF(AND('Personnel Yr 1'!$O$5&gt;0,H54&gt;'Personnel Yr 1'!$O$5),'Personnel Yr 1'!$O$5,H54)*((J54+K54)/8.5)),2)))),""),"")</f>
        <v/>
      </c>
      <c r="M54" s="44" t="str">
        <f>IF('Personnel Yr 1'!$J$5&gt;4,IF(OR(ISBLANK(L54),L54=""),"",ROUND(SUM(T54:V54),2)),"")</f>
        <v/>
      </c>
      <c r="N54" s="51" t="str">
        <f>IF('Personnel Yr 1'!$J$5&gt;4,IF(OR(ISBLANK(M54),M54=""),"",ROUND(SUM(L54:M54),2)),"")</f>
        <v/>
      </c>
      <c r="O54" s="157"/>
      <c r="P54" s="336">
        <f>IF('Personnel Yr 1'!$J$5&gt;4,IF(NOT(OR(ISBLANK(I54),I54="")),(H54/12)*I54,""),0)</f>
        <v>0</v>
      </c>
      <c r="Q54" s="337">
        <f>IF('Personnel Yr 1'!$J$5&gt;4,IF(NOT(OR(ISBLANK(J54),J54="")),(H54/8.5)*J54,""),0)</f>
        <v>0</v>
      </c>
      <c r="R54" s="336">
        <f>IF('Personnel Yr 1'!$J$5&gt;4,IF(NOT(OR(ISBLANK(K54),K54="")),(H54/8.5)*K54,""),0)</f>
        <v>0</v>
      </c>
      <c r="T54" s="336">
        <f t="shared" si="3"/>
        <v>0</v>
      </c>
      <c r="U54" s="336">
        <f t="shared" si="4"/>
        <v>0</v>
      </c>
      <c r="V54" s="336">
        <f t="shared" si="5"/>
        <v>0</v>
      </c>
      <c r="X54" s="336">
        <v>54</v>
      </c>
      <c r="Y54" s="336" t="b">
        <f>IF('Personnel Yr 1'!$J$5&gt;4,IF(OR($N$5&lt;&gt;"Federal - NIH",OR(AND(ISBLANK(I54),ISBLANK(J54),ISBLANK(K54)),AND(I54="",J54="",K54=""))),FALSE,IF(I54&gt;0,H54&gt;NIHSalaryCap,H54&gt;(NIHSalaryCap*8.5)/12)),FALSE)</f>
        <v>0</v>
      </c>
    </row>
    <row r="55" spans="1:25" x14ac:dyDescent="0.2">
      <c r="A55" s="5">
        <v>12</v>
      </c>
      <c r="B55" s="6" t="str">
        <f>IF('Personnel Yr 1'!$J$5&gt;4,IF(NOT(OR(ISBLANK('Personnel Yr 4'!B55),'Personnel Yr 4'!B55="")),'Personnel Yr 4'!B55,""),"")</f>
        <v/>
      </c>
      <c r="C55" s="22" t="str">
        <f>IF('Personnel Yr 1'!$J$5&gt;4,IF(ISBLANK('Personnel Yr 4'!C55),"",'Personnel Yr 4'!C55),"")</f>
        <v/>
      </c>
      <c r="D55" s="22" t="str">
        <f>IF('Personnel Yr 1'!$J$5&gt;4,IF(ISBLANK('Personnel Yr 4'!D55),"",'Personnel Yr 4'!D55),"")</f>
        <v/>
      </c>
      <c r="E55" s="22" t="str">
        <f>IF('Personnel Yr 1'!$J$5&gt;4,IF(ISBLANK('Personnel Yr 4'!E55),"",'Personnel Yr 4'!E55),"")</f>
        <v/>
      </c>
      <c r="F55" s="22" t="str">
        <f>IF('Personnel Yr 1'!$J$5&gt;4,IF(ISBLANK('Personnel Yr 4'!F55),"",'Personnel Yr 4'!F55),"")</f>
        <v/>
      </c>
      <c r="G55" s="22" t="str">
        <f>IF('Personnel Yr 1'!$J$5&gt;4,IF(ISBLANK('Personnel Yr 4'!G55),"",'Personnel Yr 4'!G55),"")</f>
        <v/>
      </c>
      <c r="H55" s="42" t="str">
        <f>IF('Personnel Yr 1'!$J$5&gt;4,IF(NOT(OR(ISBLANK('Personnel Yr 4'!H55),'Personnel Yr 4'!H55="")),(('Personnel Yr 4'!H55*'Personnel Yr 1'!$D$5)+'Personnel Yr 4'!H55),""),"")</f>
        <v/>
      </c>
      <c r="I55" s="22" t="str">
        <f>IF('Personnel Yr 1'!$J$5&gt;4,IF(AND(OR(ISBLANK(H55),H55=""),ISBLANK('Personnel Yr 4'!I55)),"",'Personnel Yr 4'!I55),"")</f>
        <v/>
      </c>
      <c r="J55" s="22" t="str">
        <f>IF('Personnel Yr 1'!$J$5&gt;4,IF(AND(OR(ISBLANK(I55),I55=""),ISBLANK('Personnel Yr 4'!J55)),"",'Personnel Yr 4'!J55),"")</f>
        <v/>
      </c>
      <c r="K55" s="22" t="str">
        <f>IF('Personnel Yr 1'!$J$5&gt;4,IF(AND(OR(ISBLANK(J55),J55=""),ISBLANK('Personnel Yr 4'!K55)),"",'Personnel Yr 4'!K55),"")</f>
        <v/>
      </c>
      <c r="L55" s="44" t="str">
        <f>IF('Personnel Yr 1'!$J$5&gt;4,IF(NOT(OR(ISBLANK(H55),H55="")), IF(OR(AND(ISBLANK(I55),ISBLANK(J55),ISBLANK(K55)),AND(I55="",J55="",K55="")),0, IF((AND((I55&gt;0),((J55+K55)&gt;0))),"Error", IF((I55&gt;0),ROUND((IF(AND('Personnel Yr 1'!$O$5&gt;0,H55&gt;'Personnel Yr 1'!$O$5),'Personnel Yr 1'!$O$5,H55)*(I55/12)),2),ROUND((IF(AND('Personnel Yr 1'!$O$5&gt;0,H55&gt;'Personnel Yr 1'!$O$5),'Personnel Yr 1'!$O$5,H55)*((J55+K55)/8.5)),2)))),""),"")</f>
        <v/>
      </c>
      <c r="M55" s="44" t="str">
        <f>IF('Personnel Yr 1'!$J$5&gt;4,IF(OR(ISBLANK(L55),L55=""),"",ROUND(SUM(T55:V55),2)),"")</f>
        <v/>
      </c>
      <c r="N55" s="51" t="str">
        <f>IF('Personnel Yr 1'!$J$5&gt;4,IF(OR(ISBLANK(M55),M55=""),"",ROUND(SUM(L55:M55),2)),"")</f>
        <v/>
      </c>
      <c r="O55" s="159"/>
      <c r="P55" s="336">
        <f>IF('Personnel Yr 1'!$J$5&gt;4,IF(NOT(OR(ISBLANK(I55),I55="")),(H55/12)*I55,""),0)</f>
        <v>0</v>
      </c>
      <c r="Q55" s="337">
        <f>IF('Personnel Yr 1'!$J$5&gt;4,IF(NOT(OR(ISBLANK(J55),J55="")),(H55/8.5)*J55,""),0)</f>
        <v>0</v>
      </c>
      <c r="R55" s="336">
        <f>IF('Personnel Yr 1'!$J$5&gt;4,IF(NOT(OR(ISBLANK(K55),K55="")),(H55/8.5)*K55,""),0)</f>
        <v>0</v>
      </c>
      <c r="T55" s="336">
        <f t="shared" si="3"/>
        <v>0</v>
      </c>
      <c r="U55" s="336">
        <f t="shared" si="4"/>
        <v>0</v>
      </c>
      <c r="V55" s="336">
        <f t="shared" si="5"/>
        <v>0</v>
      </c>
      <c r="X55" s="336">
        <v>55</v>
      </c>
      <c r="Y55" s="336" t="b">
        <f>IF('Personnel Yr 1'!$J$5&gt;4,IF(OR($N$5&lt;&gt;"Federal - NIH",OR(AND(ISBLANK(I55),ISBLANK(J55),ISBLANK(K55)),AND(I55="",J55="",K55=""))),FALSE,IF(I55&gt;0,H55&gt;NIHSalaryCap,H55&gt;(NIHSalaryCap*8.5)/12)),FALSE)</f>
        <v>0</v>
      </c>
    </row>
    <row r="56" spans="1:25" x14ac:dyDescent="0.2">
      <c r="A56" s="5">
        <v>13</v>
      </c>
      <c r="B56" s="75" t="str">
        <f>IF('Personnel Yr 1'!$J$5&gt;4,IF(NOT(OR(ISBLANK('Personnel Yr 4'!B56),'Personnel Yr 4'!B56="")),'Personnel Yr 4'!B56,""),"")</f>
        <v/>
      </c>
      <c r="C56" s="69" t="str">
        <f>IF('Personnel Yr 1'!$J$5&gt;4,IF(ISBLANK('Personnel Yr 4'!C56),"",'Personnel Yr 4'!C56),"")</f>
        <v/>
      </c>
      <c r="D56" s="69" t="str">
        <f>IF('Personnel Yr 1'!$J$5&gt;4,IF(ISBLANK('Personnel Yr 4'!D56),"",'Personnel Yr 4'!D56),"")</f>
        <v/>
      </c>
      <c r="E56" s="69" t="str">
        <f>IF('Personnel Yr 1'!$J$5&gt;4,IF(ISBLANK('Personnel Yr 4'!E56),"",'Personnel Yr 4'!E56),"")</f>
        <v/>
      </c>
      <c r="F56" s="69" t="str">
        <f>IF('Personnel Yr 1'!$J$5&gt;4,IF(ISBLANK('Personnel Yr 4'!F56),"",'Personnel Yr 4'!F56),"")</f>
        <v/>
      </c>
      <c r="G56" s="69" t="str">
        <f>IF('Personnel Yr 1'!$J$5&gt;4,IF(ISBLANK('Personnel Yr 4'!G56),"",'Personnel Yr 4'!G56),"")</f>
        <v/>
      </c>
      <c r="H56" s="42" t="str">
        <f>IF('Personnel Yr 1'!$J$5&gt;4,IF(NOT(OR(ISBLANK('Personnel Yr 4'!H56),'Personnel Yr 4'!H56="")),(('Personnel Yr 4'!H56*'Personnel Yr 1'!$D$5)+'Personnel Yr 4'!H56),""),"")</f>
        <v/>
      </c>
      <c r="I56" s="22" t="str">
        <f>IF('Personnel Yr 1'!$J$5&gt;4,IF(AND(OR(ISBLANK(H56),H56=""),ISBLANK('Personnel Yr 4'!I56)),"",'Personnel Yr 4'!I56),"")</f>
        <v/>
      </c>
      <c r="J56" s="22" t="str">
        <f>IF('Personnel Yr 1'!$J$5&gt;4,IF(AND(OR(ISBLANK(I56),I56=""),ISBLANK('Personnel Yr 4'!J56)),"",'Personnel Yr 4'!J56),"")</f>
        <v/>
      </c>
      <c r="K56" s="22" t="str">
        <f>IF('Personnel Yr 1'!$J$5&gt;4,IF(AND(OR(ISBLANK(J56),J56=""),ISBLANK('Personnel Yr 4'!K56)),"",'Personnel Yr 4'!K56),"")</f>
        <v/>
      </c>
      <c r="L56" s="44" t="str">
        <f>IF('Personnel Yr 1'!$J$5&gt;4,IF(NOT(OR(ISBLANK(H56),H56="")), IF(OR(AND(ISBLANK(I56),ISBLANK(J56),ISBLANK(K56)),AND(I56="",J56="",K56="")),0, IF((AND((I56&gt;0),((J56+K56)&gt;0))),"Error", IF((I56&gt;0),ROUND((IF(AND('Personnel Yr 1'!$O$5&gt;0,H56&gt;'Personnel Yr 1'!$O$5),'Personnel Yr 1'!$O$5,H56)*(I56/12)),2),ROUND((IF(AND('Personnel Yr 1'!$O$5&gt;0,H56&gt;'Personnel Yr 1'!$O$5),'Personnel Yr 1'!$O$5,H56)*((J56+K56)/8.5)),2)))),""),"")</f>
        <v/>
      </c>
      <c r="M56" s="49" t="str">
        <f>IF('Personnel Yr 1'!$J$5&gt;4,IF(OR(ISBLANK(L56),L56=""),"",ROUND(SUM(T56:V56),2)),"")</f>
        <v/>
      </c>
      <c r="N56" s="50" t="str">
        <f>IF('Personnel Yr 1'!$J$5&gt;4,IF(OR(ISBLANK(M56),M56=""),"",ROUND(SUM(L56:M56),2)),"")</f>
        <v/>
      </c>
      <c r="O56" s="182"/>
      <c r="P56" s="336">
        <f>IF('Personnel Yr 1'!$J$5&gt;4,IF(NOT(OR(ISBLANK(I56),I56="")),(H56/12)*I56,""),0)</f>
        <v>0</v>
      </c>
      <c r="Q56" s="337">
        <f>IF('Personnel Yr 1'!$J$5&gt;4,IF(NOT(OR(ISBLANK(J56),J56="")),(H56/8.5)*J56,""),0)</f>
        <v>0</v>
      </c>
      <c r="R56" s="336">
        <f>IF('Personnel Yr 1'!$J$5&gt;4,IF(NOT(OR(ISBLANK(K56),K56="")),(H56/8.5)*K56,""),0)</f>
        <v>0</v>
      </c>
      <c r="T56" s="336">
        <f t="shared" si="3"/>
        <v>0</v>
      </c>
      <c r="U56" s="336">
        <f t="shared" si="4"/>
        <v>0</v>
      </c>
      <c r="V56" s="336">
        <f t="shared" si="5"/>
        <v>0</v>
      </c>
      <c r="X56" s="336">
        <v>56</v>
      </c>
      <c r="Y56" s="336" t="b">
        <f>IF('Personnel Yr 1'!$J$5&gt;4,IF(OR($N$5&lt;&gt;"Federal - NIH",OR(AND(ISBLANK(I56),ISBLANK(J56),ISBLANK(K56)),AND(I56="",J56="",K56=""))),FALSE,IF(I56&gt;0,H56&gt;NIHSalaryCap,H56&gt;(NIHSalaryCap*8.5)/12)),FALSE)</f>
        <v>0</v>
      </c>
    </row>
    <row r="57" spans="1:25" x14ac:dyDescent="0.2">
      <c r="A57" s="5">
        <v>14</v>
      </c>
      <c r="B57" s="6" t="str">
        <f>IF('Personnel Yr 1'!$J$5&gt;4,IF(NOT(OR(ISBLANK('Personnel Yr 4'!B57),'Personnel Yr 4'!B57="")),'Personnel Yr 4'!B57,""),"")</f>
        <v/>
      </c>
      <c r="C57" s="22" t="str">
        <f>IF('Personnel Yr 1'!$J$5&gt;4,IF(ISBLANK('Personnel Yr 4'!C57),"",'Personnel Yr 4'!C57),"")</f>
        <v/>
      </c>
      <c r="D57" s="22" t="str">
        <f>IF('Personnel Yr 1'!$J$5&gt;4,IF(ISBLANK('Personnel Yr 4'!D57),"",'Personnel Yr 4'!D57),"")</f>
        <v/>
      </c>
      <c r="E57" s="22" t="str">
        <f>IF('Personnel Yr 1'!$J$5&gt;4,IF(ISBLANK('Personnel Yr 4'!E57),"",'Personnel Yr 4'!E57),"")</f>
        <v/>
      </c>
      <c r="F57" s="22" t="str">
        <f>IF('Personnel Yr 1'!$J$5&gt;4,IF(ISBLANK('Personnel Yr 4'!F57),"",'Personnel Yr 4'!F57),"")</f>
        <v/>
      </c>
      <c r="G57" s="22" t="str">
        <f>IF('Personnel Yr 1'!$J$5&gt;4,IF(ISBLANK('Personnel Yr 4'!G57),"",'Personnel Yr 4'!G57),"")</f>
        <v/>
      </c>
      <c r="H57" s="42" t="str">
        <f>IF('Personnel Yr 1'!$J$5&gt;4,IF(NOT(OR(ISBLANK('Personnel Yr 4'!H57),'Personnel Yr 4'!H57="")),(('Personnel Yr 4'!H57*'Personnel Yr 1'!$D$5)+'Personnel Yr 4'!H57),""),"")</f>
        <v/>
      </c>
      <c r="I57" s="22" t="str">
        <f>IF('Personnel Yr 1'!$J$5&gt;4,IF(AND(OR(ISBLANK(H57),H57=""),ISBLANK('Personnel Yr 4'!I57)),"",'Personnel Yr 4'!I57),"")</f>
        <v/>
      </c>
      <c r="J57" s="22" t="str">
        <f>IF('Personnel Yr 1'!$J$5&gt;4,IF(AND(OR(ISBLANK(I57),I57=""),ISBLANK('Personnel Yr 4'!J57)),"",'Personnel Yr 4'!J57),"")</f>
        <v/>
      </c>
      <c r="K57" s="22" t="str">
        <f>IF('Personnel Yr 1'!$J$5&gt;4,IF(AND(OR(ISBLANK(J57),J57=""),ISBLANK('Personnel Yr 4'!K57)),"",'Personnel Yr 4'!K57),"")</f>
        <v/>
      </c>
      <c r="L57" s="44" t="str">
        <f>IF('Personnel Yr 1'!$J$5&gt;4,IF(NOT(OR(ISBLANK(H57),H57="")), IF(OR(AND(ISBLANK(I57),ISBLANK(J57),ISBLANK(K57)),AND(I57="",J57="",K57="")),0, IF((AND((I57&gt;0),((J57+K57)&gt;0))),"Error", IF((I57&gt;0),ROUND((IF(AND('Personnel Yr 1'!$O$5&gt;0,H57&gt;'Personnel Yr 1'!$O$5),'Personnel Yr 1'!$O$5,H57)*(I57/12)),2),ROUND((IF(AND('Personnel Yr 1'!$O$5&gt;0,H57&gt;'Personnel Yr 1'!$O$5),'Personnel Yr 1'!$O$5,H57)*((J57+K57)/8.5)),2)))),""),"")</f>
        <v/>
      </c>
      <c r="M57" s="44" t="str">
        <f>IF('Personnel Yr 1'!$J$5&gt;4,IF(OR(ISBLANK(L57),L57=""),"",ROUND(SUM(T57:V57),2)),"")</f>
        <v/>
      </c>
      <c r="N57" s="51" t="str">
        <f>IF('Personnel Yr 1'!$J$5&gt;4,IF(OR(ISBLANK(M57),M57=""),"",ROUND(SUM(L57:M57),2)),"")</f>
        <v/>
      </c>
      <c r="O57" s="157"/>
      <c r="P57" s="336">
        <f>IF('Personnel Yr 1'!$J$5&gt;4,IF(NOT(OR(ISBLANK(I57),I57="")),(H57/12)*I57,""),0)</f>
        <v>0</v>
      </c>
      <c r="Q57" s="337">
        <f>IF('Personnel Yr 1'!$J$5&gt;4,IF(NOT(OR(ISBLANK(J57),J57="")),(H57/8.5)*J57,""),0)</f>
        <v>0</v>
      </c>
      <c r="R57" s="336">
        <f>IF('Personnel Yr 1'!$J$5&gt;4,IF(NOT(OR(ISBLANK(K57),K57="")),(H57/8.5)*K57,""),0)</f>
        <v>0</v>
      </c>
      <c r="T57" s="336">
        <f t="shared" si="3"/>
        <v>0</v>
      </c>
      <c r="U57" s="336">
        <f t="shared" si="4"/>
        <v>0</v>
      </c>
      <c r="V57" s="336">
        <f t="shared" si="5"/>
        <v>0</v>
      </c>
      <c r="X57" s="336">
        <v>57</v>
      </c>
      <c r="Y57" s="336" t="b">
        <f>IF('Personnel Yr 1'!$J$5&gt;4,IF(OR($N$5&lt;&gt;"Federal - NIH",OR(AND(ISBLANK(I57),ISBLANK(J57),ISBLANK(K57)),AND(I57="",J57="",K57=""))),FALSE,IF(I57&gt;0,H57&gt;NIHSalaryCap,H57&gt;(NIHSalaryCap*8.5)/12)),FALSE)</f>
        <v>0</v>
      </c>
    </row>
    <row r="58" spans="1:25" ht="13.5" thickBot="1" x14ac:dyDescent="0.25">
      <c r="A58" s="5">
        <v>15</v>
      </c>
      <c r="B58" s="175" t="str">
        <f>IF('Personnel Yr 1'!$J$5&gt;4,IF(NOT(OR(ISBLANK('Personnel Yr 4'!B58),'Personnel Yr 4'!B58="")),'Personnel Yr 4'!B58,""),"")</f>
        <v/>
      </c>
      <c r="C58" s="29" t="str">
        <f>IF('Personnel Yr 1'!$J$5&gt;4,IF(ISBLANK('Personnel Yr 4'!C58),"",'Personnel Yr 4'!C58),"")</f>
        <v/>
      </c>
      <c r="D58" s="29" t="str">
        <f>IF('Personnel Yr 1'!$J$5&gt;4,IF(ISBLANK('Personnel Yr 4'!D58),"",'Personnel Yr 4'!D58),"")</f>
        <v/>
      </c>
      <c r="E58" s="29" t="str">
        <f>IF('Personnel Yr 1'!$J$5&gt;4,IF(ISBLANK('Personnel Yr 4'!E58),"",'Personnel Yr 4'!E58),"")</f>
        <v/>
      </c>
      <c r="F58" s="29" t="str">
        <f>IF('Personnel Yr 1'!$J$5&gt;4,IF(ISBLANK('Personnel Yr 4'!F58),"",'Personnel Yr 4'!F58),"")</f>
        <v/>
      </c>
      <c r="G58" s="179" t="str">
        <f>IF('Personnel Yr 1'!$J$5&gt;4,IF(ISBLANK('Personnel Yr 4'!G58),"",'Personnel Yr 4'!G58),"")</f>
        <v/>
      </c>
      <c r="H58" s="43" t="str">
        <f>IF('Personnel Yr 1'!$J$5&gt;4,IF(NOT(OR(ISBLANK('Personnel Yr 4'!H58),'Personnel Yr 4'!H58="")),(('Personnel Yr 4'!H58*'Personnel Yr 1'!$D$5)+'Personnel Yr 4'!H58),""),"")</f>
        <v/>
      </c>
      <c r="I58" s="29" t="str">
        <f>IF('Personnel Yr 1'!$J$5&gt;4,IF(AND(OR(ISBLANK(H58),H58=""),ISBLANK('Personnel Yr 4'!I58)),"",'Personnel Yr 4'!I58),"")</f>
        <v/>
      </c>
      <c r="J58" s="29" t="str">
        <f>IF('Personnel Yr 1'!$J$5&gt;4,IF(AND(OR(ISBLANK(I58),I58=""),ISBLANK('Personnel Yr 4'!J58)),"",'Personnel Yr 4'!J58),"")</f>
        <v/>
      </c>
      <c r="K58" s="29" t="str">
        <f>IF('Personnel Yr 1'!$J$5&gt;4,IF(AND(OR(ISBLANK(J58),J58=""),ISBLANK('Personnel Yr 4'!K58)),"",'Personnel Yr 4'!K58),"")</f>
        <v/>
      </c>
      <c r="L58" s="52" t="str">
        <f>IF('Personnel Yr 1'!$J$5&gt;4,IF(NOT(OR(ISBLANK(H58),H58="")), IF(OR(AND(ISBLANK(I58),ISBLANK(J58),ISBLANK(K58)),AND(I58="",J58="",K58="")),0, IF((AND((I58&gt;0),((J58+K58)&gt;0))),"Error", IF((I58&gt;0),ROUND((IF(AND('Personnel Yr 1'!$O$5&gt;0,H58&gt;'Personnel Yr 1'!$O$5),'Personnel Yr 1'!$O$5,H58)*(I58/12)),2),ROUND((IF(AND('Personnel Yr 1'!$O$5&gt;0,H58&gt;'Personnel Yr 1'!$O$5),'Personnel Yr 1'!$O$5,H58)*((J58+K58)/8.5)),2)))),""),"")</f>
        <v/>
      </c>
      <c r="M58" s="180" t="str">
        <f>IF('Personnel Yr 1'!$J$5&gt;4,IF(OR(ISBLANK(L58),L58=""),"",ROUND(SUM(T58:V58),2)),"")</f>
        <v/>
      </c>
      <c r="N58" s="181" t="str">
        <f>IF('Personnel Yr 1'!$J$5&gt;4,IF(OR(ISBLANK(M58),M58=""),"",ROUND(SUM(L58:M58),2)),"")</f>
        <v/>
      </c>
      <c r="O58" s="161"/>
      <c r="P58" s="336">
        <f>IF('Personnel Yr 1'!$J$5&gt;4,IF(NOT(OR(ISBLANK(I58),I58="")),(H58/12)*I58,""),0)</f>
        <v>0</v>
      </c>
      <c r="Q58" s="337">
        <f>IF('Personnel Yr 1'!$J$5&gt;4,IF(NOT(OR(ISBLANK(J58),J58="")),(H58/8.5)*J58,""),0)</f>
        <v>0</v>
      </c>
      <c r="R58" s="336">
        <f>IF('Personnel Yr 1'!$J$5&gt;4,IF(NOT(OR(ISBLANK(K58),K58="")),(H58/8.5)*K58,""),0)</f>
        <v>0</v>
      </c>
      <c r="T58" s="336">
        <f t="shared" si="3"/>
        <v>0</v>
      </c>
      <c r="U58" s="336">
        <f t="shared" si="4"/>
        <v>0</v>
      </c>
      <c r="V58" s="336">
        <f t="shared" si="5"/>
        <v>0</v>
      </c>
      <c r="X58" s="336">
        <v>58</v>
      </c>
      <c r="Y58" s="336" t="b">
        <f>IF('Personnel Yr 1'!$J$5&gt;4,IF(OR($N$5&lt;&gt;"Federal - NIH",OR(AND(ISBLANK(I58),ISBLANK(J58),ISBLANK(K58)),AND(I58="",J58="",K58=""))),FALSE,IF(I58&gt;0,H58&gt;NIHSalaryCap,H58&gt;(NIHSalaryCap*8.5)/12)),FALSE)</f>
        <v>0</v>
      </c>
    </row>
    <row r="59" spans="1:25" ht="13.5" thickBot="1" x14ac:dyDescent="0.25">
      <c r="B59" s="27">
        <f>ROWS(E44:E58)-COUNTIF(E44:E58,"")</f>
        <v>0</v>
      </c>
      <c r="N59" s="56">
        <f>SUM(N44:N58)</f>
        <v>0</v>
      </c>
      <c r="P59" s="336">
        <f>SUM(P44:P58)</f>
        <v>0</v>
      </c>
      <c r="Q59" s="336">
        <f t="shared" ref="Q59:V59" si="6">SUM(Q44:Q58)</f>
        <v>0</v>
      </c>
      <c r="R59" s="336">
        <f t="shared" si="6"/>
        <v>0</v>
      </c>
      <c r="S59" s="336">
        <f t="shared" si="6"/>
        <v>0</v>
      </c>
      <c r="T59" s="336">
        <f t="shared" si="6"/>
        <v>0</v>
      </c>
      <c r="U59" s="336">
        <f t="shared" si="6"/>
        <v>0</v>
      </c>
      <c r="V59" s="336">
        <f t="shared" si="6"/>
        <v>0</v>
      </c>
    </row>
  </sheetData>
  <sheetProtection algorithmName="SHA-512" hashValue="WuDn/d6N/QZxMy1gpawheuPxFmalGHmzXP+15OmhVbRBZJcDX3raTuCDmFY2DlBLOwLl4IC9ZhJppaBl6j+O2g==" saltValue="Yi/zxeQa0n0fqQB0snHfjg==" spinCount="100000" sheet="1" objects="1" scenarios="1"/>
  <mergeCells count="23">
    <mergeCell ref="A1:N1"/>
    <mergeCell ref="B5:C5"/>
    <mergeCell ref="C15:F15"/>
    <mergeCell ref="J16:M16"/>
    <mergeCell ref="G15:M15"/>
    <mergeCell ref="B19:C19"/>
    <mergeCell ref="D19:K19"/>
    <mergeCell ref="A3:N3"/>
    <mergeCell ref="C21:H21"/>
    <mergeCell ref="C24:H24"/>
    <mergeCell ref="C22:H22"/>
    <mergeCell ref="C16:F16"/>
    <mergeCell ref="C23:F23"/>
    <mergeCell ref="B42:D42"/>
    <mergeCell ref="H33:L34"/>
    <mergeCell ref="H35:L39"/>
    <mergeCell ref="I30:M30"/>
    <mergeCell ref="C25:H25"/>
    <mergeCell ref="C26:H26"/>
    <mergeCell ref="C29:F29"/>
    <mergeCell ref="I29:M29"/>
    <mergeCell ref="C27:H27"/>
    <mergeCell ref="C28:H28"/>
  </mergeCells>
  <phoneticPr fontId="5" type="noConversion"/>
  <conditionalFormatting sqref="L21:L26">
    <cfRule type="cellIs" dxfId="11" priority="34" stopIfTrue="1" operator="lessThan">
      <formula>1</formula>
    </cfRule>
  </conditionalFormatting>
  <conditionalFormatting sqref="H23">
    <cfRule type="cellIs" dxfId="10" priority="35" stopIfTrue="1" operator="equal">
      <formula>""</formula>
    </cfRule>
  </conditionalFormatting>
  <conditionalFormatting sqref="L27:L28">
    <cfRule type="cellIs" dxfId="9" priority="32" stopIfTrue="1" operator="lessThan">
      <formula>1</formula>
    </cfRule>
  </conditionalFormatting>
  <conditionalFormatting sqref="H7:H14">
    <cfRule type="expression" dxfId="8" priority="4">
      <formula>$Y$7</formula>
    </cfRule>
  </conditionalFormatting>
  <conditionalFormatting sqref="H44:H58">
    <cfRule type="expression" dxfId="7" priority="1">
      <formula>$Y$7</formula>
    </cfRule>
  </conditionalFormatting>
  <dataValidations count="3">
    <dataValidation type="list" allowBlank="1" showInputMessage="1" showErrorMessage="1" sqref="H23" xr:uid="{00000000-0002-0000-0500-000000000000}">
      <formula1>Grad</formula1>
    </dataValidation>
    <dataValidation type="list" allowBlank="1" showInputMessage="1" showErrorMessage="1" sqref="B7:B14 B44:B58" xr:uid="{00000000-0002-0000-0500-000001000000}">
      <formula1>Prefix</formula1>
    </dataValidation>
    <dataValidation type="list" allowBlank="1" showInputMessage="1" showErrorMessage="1" sqref="G7:G14 G44:G58" xr:uid="{00000000-0002-0000-0500-000002000000}">
      <formula1>Roles</formula1>
    </dataValidation>
  </dataValidations>
  <printOptions horizontalCentered="1"/>
  <pageMargins left="0.25" right="0.25" top="0.5" bottom="0.5" header="0.5" footer="0.5"/>
  <pageSetup scale="93" orientation="landscape" r:id="rId1"/>
  <headerFooter alignWithMargins="0">
    <oddFooter>&amp;RPrinted On: &amp;D &amp;T</oddFooter>
  </headerFooter>
  <ignoredErrors>
    <ignoredError sqref="N21:N25 M21:M24 B21:G22 H21:H26 I21:K26 L28:L30 I29:K30 H15:H20 H29:H30 B7:G14 B29:G30 L21:L22 N7:N14 N30 M29:M30 L15:L20 N17:N20 M15:M20 B17:G20 I15:K20 B44:G57 B58:G58 C15:G15 C16:F16 B24:G24 B23:C23 G23 L24:L27 B26:G26 B25 D25:G25" unlockedFormula="1"/>
    <ignoredError sqref="M25" formula="1" unlockedFormula="1"/>
    <ignoredError sqref="G35" evalError="1"/>
  </ignoredErrors>
  <extLst>
    <ext xmlns:x14="http://schemas.microsoft.com/office/spreadsheetml/2009/9/main" uri="{78C0D931-6437-407d-A8EE-F0AAD7539E65}">
      <x14:conditionalFormattings>
        <x14:conditionalFormatting xmlns:xm="http://schemas.microsoft.com/office/excel/2006/main">
          <x14:cfRule type="expression" priority="31" id="{7B70ABE4-2E25-4023-AF78-AE7E69E0C4C1}">
            <xm:f>IF('Personnel Yr 1'!N5="Federal - NIH",SUM('Non-personnel'!$P$41,$N$23)/IF(OR(ISBLANK($B$23),NOT(ISNUMBER($B$23))),1,$B$23)&gt;NIHGradLimit)</xm:f>
            <x14:dxf>
              <fill>
                <patternFill>
                  <bgColor rgb="FFFFFF00"/>
                </patternFill>
              </fill>
            </x14:dxf>
          </x14:cfRule>
          <xm:sqref>N23</xm:sqref>
        </x14:conditionalFormatting>
      </x14:conditionalFormattings>
    </ext>
    <ext xmlns:x14="http://schemas.microsoft.com/office/spreadsheetml/2009/9/main" uri="{CCE6A557-97BC-4b89-ADB6-D9C93CAAB3DF}">
      <x14:dataValidations xmlns:xm="http://schemas.microsoft.com/office/excel/2006/main" count="2">
        <x14:dataValidation type="custom" errorStyle="information" allowBlank="1" showInputMessage="1" showErrorMessage="1" errorTitle="Salary Cap Error" error="Base salary should remain under $185,100 for calandar appointments and $131,112 for academic appointments." xr:uid="{00000000-0002-0000-0500-000003000000}">
          <x14:formula1>
            <xm:f>IF(AND('Personnel Yr 1'!$N$5="Federal - NIH",OR(NOT(ISBLANK($I7)),NOT(ISBLANK($J7)),NOT(ISBLANK($K7)),$I7&lt;&gt;"",$J7&lt;&gt;"",$K7&lt;&gt;"")),IF($I7&gt;0,$H7&lt;=NIHSalaryCap,$H7&lt;=(NIHSalaryCap*8.5)/12),TRUE)</xm:f>
          </x14:formula1>
          <xm:sqref>H7:K14 H44:K58</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500-000004000000}">
          <x14:formula1>
            <xm:f>OR(AND('Personnel Yr 1'!N5="Federal - NIH",SUM('Non-personnel'!$P$41,$N$23)/IF(OR(ISBLANK(B23),NOT(ISNUMBER(B23))),1,B23)&lt;=NIHGradLimit),'Personnel Yr 1'!N5&lt;&gt;"Federal - NIH")</xm:f>
          </x14:formula1>
          <xm:sqref>L23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U93"/>
  <sheetViews>
    <sheetView zoomScaleNormal="100" workbookViewId="0">
      <selection sqref="A1:S1"/>
    </sheetView>
  </sheetViews>
  <sheetFormatPr defaultRowHeight="12.75" x14ac:dyDescent="0.2"/>
  <cols>
    <col min="1" max="1" width="3" bestFit="1" customWidth="1"/>
    <col min="2" max="2" width="12.7109375" customWidth="1"/>
    <col min="3" max="4" width="10" customWidth="1"/>
    <col min="5" max="5" width="8.7109375" customWidth="1"/>
    <col min="6" max="6" width="8.85546875" customWidth="1"/>
    <col min="7" max="8" width="10" customWidth="1"/>
    <col min="9" max="9" width="10" hidden="1" customWidth="1"/>
    <col min="11" max="17" width="0" hidden="1" customWidth="1"/>
    <col min="19" max="19" width="0.140625" customWidth="1"/>
    <col min="20" max="20" width="74.5703125" bestFit="1" customWidth="1"/>
  </cols>
  <sheetData>
    <row r="1" spans="1:21" ht="18" x14ac:dyDescent="0.25">
      <c r="A1" s="561" t="s">
        <v>507</v>
      </c>
      <c r="B1" s="561"/>
      <c r="C1" s="561"/>
      <c r="D1" s="561"/>
      <c r="E1" s="561"/>
      <c r="F1" s="561"/>
      <c r="G1" s="561"/>
      <c r="H1" s="561"/>
      <c r="I1" s="561"/>
      <c r="J1" s="561"/>
      <c r="K1" s="561"/>
      <c r="L1" s="561"/>
      <c r="M1" s="561"/>
      <c r="N1" s="561"/>
      <c r="O1" s="561"/>
      <c r="P1" s="561"/>
      <c r="Q1" s="561"/>
      <c r="R1" s="561"/>
      <c r="S1" s="561"/>
    </row>
    <row r="2" spans="1:21" x14ac:dyDescent="0.2">
      <c r="A2" s="1"/>
      <c r="B2" s="1"/>
      <c r="C2" s="1"/>
      <c r="D2" s="1"/>
      <c r="E2" s="1"/>
      <c r="F2" s="1"/>
      <c r="G2" s="1"/>
      <c r="H2" s="1"/>
      <c r="I2" s="1"/>
      <c r="J2" s="1"/>
      <c r="K2" s="1"/>
      <c r="L2" s="1"/>
      <c r="M2" s="1"/>
      <c r="N2" s="1"/>
      <c r="O2" s="31"/>
      <c r="P2" s="31"/>
      <c r="Q2" s="31"/>
      <c r="R2" s="31"/>
      <c r="S2" s="31"/>
    </row>
    <row r="3" spans="1:21" ht="18" x14ac:dyDescent="0.25">
      <c r="A3" s="561" t="s">
        <v>82</v>
      </c>
      <c r="B3" s="561"/>
      <c r="C3" s="561"/>
      <c r="D3" s="561"/>
      <c r="E3" s="561"/>
      <c r="F3" s="561"/>
      <c r="G3" s="561"/>
      <c r="H3" s="561"/>
      <c r="I3" s="561"/>
      <c r="J3" s="561"/>
      <c r="K3" s="561"/>
      <c r="L3" s="561"/>
      <c r="M3" s="561"/>
      <c r="N3" s="561"/>
      <c r="O3" s="561"/>
      <c r="P3" s="561"/>
      <c r="Q3" s="561"/>
      <c r="R3" s="561"/>
      <c r="S3" s="561"/>
    </row>
    <row r="4" spans="1:21" x14ac:dyDescent="0.2">
      <c r="B4" s="575" t="s">
        <v>14</v>
      </c>
      <c r="C4" s="575"/>
      <c r="D4" s="575"/>
    </row>
    <row r="5" spans="1:21" x14ac:dyDescent="0.2">
      <c r="B5" s="725" t="s">
        <v>15</v>
      </c>
      <c r="C5" s="725"/>
      <c r="D5" s="725"/>
      <c r="E5" s="725"/>
      <c r="F5" s="725"/>
      <c r="G5" s="725"/>
      <c r="H5" s="725"/>
      <c r="I5" s="725"/>
      <c r="J5" s="725"/>
    </row>
    <row r="6" spans="1:21" ht="16.5" customHeight="1" thickBot="1" x14ac:dyDescent="0.25">
      <c r="A6" s="5"/>
      <c r="B6" s="725" t="s">
        <v>75</v>
      </c>
      <c r="C6" s="726"/>
      <c r="D6" s="726"/>
      <c r="E6" s="726"/>
      <c r="F6" s="726"/>
      <c r="G6" s="726"/>
      <c r="H6" s="637" t="s">
        <v>35</v>
      </c>
      <c r="I6" s="637"/>
      <c r="J6" s="637" t="s">
        <v>36</v>
      </c>
      <c r="K6" s="637"/>
      <c r="L6" s="637" t="s">
        <v>37</v>
      </c>
      <c r="M6" s="637"/>
      <c r="N6" s="637" t="s">
        <v>38</v>
      </c>
      <c r="O6" s="637"/>
      <c r="P6" s="637" t="s">
        <v>39</v>
      </c>
      <c r="Q6" s="637"/>
      <c r="R6" s="637" t="s">
        <v>40</v>
      </c>
      <c r="S6" s="637"/>
      <c r="T6" s="3" t="s">
        <v>253</v>
      </c>
      <c r="U6" s="78"/>
    </row>
    <row r="7" spans="1:21" x14ac:dyDescent="0.2">
      <c r="A7" s="5">
        <v>1</v>
      </c>
      <c r="B7" s="727"/>
      <c r="C7" s="728"/>
      <c r="D7" s="728"/>
      <c r="E7" s="728"/>
      <c r="F7" s="728"/>
      <c r="G7" s="728"/>
      <c r="H7" s="700"/>
      <c r="I7" s="701"/>
      <c r="J7" s="700"/>
      <c r="K7" s="701"/>
      <c r="L7" s="700"/>
      <c r="M7" s="701"/>
      <c r="N7" s="700"/>
      <c r="O7" s="701"/>
      <c r="P7" s="700"/>
      <c r="Q7" s="701"/>
      <c r="R7" s="672">
        <f>SUM(H7:Q7)</f>
        <v>0</v>
      </c>
      <c r="S7" s="673"/>
      <c r="T7" s="162"/>
    </row>
    <row r="8" spans="1:21" x14ac:dyDescent="0.2">
      <c r="A8" s="5">
        <v>2</v>
      </c>
      <c r="B8" s="605"/>
      <c r="C8" s="716"/>
      <c r="D8" s="716"/>
      <c r="E8" s="716"/>
      <c r="F8" s="716"/>
      <c r="G8" s="716"/>
      <c r="H8" s="712"/>
      <c r="I8" s="713"/>
      <c r="J8" s="628"/>
      <c r="K8" s="629"/>
      <c r="L8" s="628"/>
      <c r="M8" s="629"/>
      <c r="N8" s="628"/>
      <c r="O8" s="629"/>
      <c r="P8" s="628"/>
      <c r="Q8" s="629"/>
      <c r="R8" s="650">
        <f t="shared" ref="R8:R14" si="0">SUM(H8:Q8)</f>
        <v>0</v>
      </c>
      <c r="S8" s="651"/>
      <c r="T8" s="20"/>
    </row>
    <row r="9" spans="1:21" x14ac:dyDescent="0.2">
      <c r="A9" s="5">
        <v>3</v>
      </c>
      <c r="B9" s="605"/>
      <c r="C9" s="716"/>
      <c r="D9" s="716"/>
      <c r="E9" s="716"/>
      <c r="F9" s="716"/>
      <c r="G9" s="716"/>
      <c r="H9" s="712"/>
      <c r="I9" s="713"/>
      <c r="J9" s="628"/>
      <c r="K9" s="629"/>
      <c r="L9" s="628"/>
      <c r="M9" s="629"/>
      <c r="N9" s="628"/>
      <c r="O9" s="629"/>
      <c r="P9" s="628"/>
      <c r="Q9" s="629"/>
      <c r="R9" s="650">
        <f t="shared" si="0"/>
        <v>0</v>
      </c>
      <c r="S9" s="651"/>
      <c r="T9" s="20"/>
    </row>
    <row r="10" spans="1:21" hidden="1" x14ac:dyDescent="0.2">
      <c r="A10" s="5">
        <v>4</v>
      </c>
      <c r="B10" s="605"/>
      <c r="C10" s="716"/>
      <c r="D10" s="716"/>
      <c r="E10" s="716"/>
      <c r="F10" s="716"/>
      <c r="G10" s="716"/>
      <c r="H10" s="712"/>
      <c r="I10" s="713"/>
      <c r="J10" s="628"/>
      <c r="K10" s="629"/>
      <c r="L10" s="628"/>
      <c r="M10" s="629"/>
      <c r="N10" s="628"/>
      <c r="O10" s="629"/>
      <c r="P10" s="628"/>
      <c r="Q10" s="629"/>
      <c r="R10" s="650">
        <f t="shared" si="0"/>
        <v>0</v>
      </c>
      <c r="S10" s="651"/>
      <c r="T10" s="20"/>
    </row>
    <row r="11" spans="1:21" hidden="1" x14ac:dyDescent="0.2">
      <c r="A11" s="5">
        <v>5</v>
      </c>
      <c r="B11" s="605"/>
      <c r="C11" s="716"/>
      <c r="D11" s="716"/>
      <c r="E11" s="716"/>
      <c r="F11" s="716"/>
      <c r="G11" s="716"/>
      <c r="H11" s="712"/>
      <c r="I11" s="713"/>
      <c r="J11" s="628"/>
      <c r="K11" s="629"/>
      <c r="L11" s="628"/>
      <c r="M11" s="629"/>
      <c r="N11" s="628"/>
      <c r="O11" s="629"/>
      <c r="P11" s="628"/>
      <c r="Q11" s="629"/>
      <c r="R11" s="650">
        <f t="shared" si="0"/>
        <v>0</v>
      </c>
      <c r="S11" s="651"/>
      <c r="T11" s="20"/>
    </row>
    <row r="12" spans="1:21" hidden="1" x14ac:dyDescent="0.2">
      <c r="A12" s="5">
        <v>6</v>
      </c>
      <c r="B12" s="605"/>
      <c r="C12" s="716"/>
      <c r="D12" s="716"/>
      <c r="E12" s="716"/>
      <c r="F12" s="716"/>
      <c r="G12" s="716"/>
      <c r="H12" s="712"/>
      <c r="I12" s="713"/>
      <c r="J12" s="628"/>
      <c r="K12" s="629"/>
      <c r="L12" s="628"/>
      <c r="M12" s="629"/>
      <c r="N12" s="628"/>
      <c r="O12" s="629"/>
      <c r="P12" s="628"/>
      <c r="Q12" s="629"/>
      <c r="R12" s="650">
        <f t="shared" si="0"/>
        <v>0</v>
      </c>
      <c r="S12" s="651"/>
      <c r="T12" s="20"/>
    </row>
    <row r="13" spans="1:21" hidden="1" x14ac:dyDescent="0.2">
      <c r="A13" s="5">
        <v>7</v>
      </c>
      <c r="B13" s="605"/>
      <c r="C13" s="716"/>
      <c r="D13" s="716"/>
      <c r="E13" s="716"/>
      <c r="F13" s="716"/>
      <c r="G13" s="716"/>
      <c r="H13" s="712"/>
      <c r="I13" s="713"/>
      <c r="J13" s="628"/>
      <c r="K13" s="629"/>
      <c r="L13" s="628"/>
      <c r="M13" s="629"/>
      <c r="N13" s="628"/>
      <c r="O13" s="629"/>
      <c r="P13" s="628"/>
      <c r="Q13" s="629"/>
      <c r="R13" s="650">
        <f t="shared" si="0"/>
        <v>0</v>
      </c>
      <c r="S13" s="651"/>
      <c r="T13" s="20"/>
    </row>
    <row r="14" spans="1:21" ht="13.5" hidden="1" thickBot="1" x14ac:dyDescent="0.25">
      <c r="A14" s="5">
        <v>8</v>
      </c>
      <c r="B14" s="714"/>
      <c r="C14" s="715"/>
      <c r="D14" s="715"/>
      <c r="E14" s="715"/>
      <c r="F14" s="715"/>
      <c r="G14" s="715"/>
      <c r="H14" s="712"/>
      <c r="I14" s="713"/>
      <c r="J14" s="704"/>
      <c r="K14" s="705"/>
      <c r="L14" s="704"/>
      <c r="M14" s="705"/>
      <c r="N14" s="704"/>
      <c r="O14" s="705"/>
      <c r="P14" s="704"/>
      <c r="Q14" s="705"/>
      <c r="R14" s="667">
        <f t="shared" si="0"/>
        <v>0</v>
      </c>
      <c r="S14" s="668"/>
      <c r="T14" s="164"/>
    </row>
    <row r="15" spans="1:21" ht="13.5" thickBot="1" x14ac:dyDescent="0.25">
      <c r="B15" s="9"/>
      <c r="C15" s="9"/>
      <c r="D15" s="9"/>
      <c r="E15" s="9"/>
      <c r="F15" s="571" t="s">
        <v>18</v>
      </c>
      <c r="G15" s="571"/>
      <c r="H15" s="708">
        <f>SUM(H7:I14)</f>
        <v>0</v>
      </c>
      <c r="I15" s="709"/>
      <c r="J15" s="708">
        <f>SUM(J7:K14)</f>
        <v>0</v>
      </c>
      <c r="K15" s="709"/>
      <c r="L15" s="708">
        <f>SUM(L7:M14)</f>
        <v>0</v>
      </c>
      <c r="M15" s="709"/>
      <c r="N15" s="708">
        <f>SUM(N7:O14)</f>
        <v>0</v>
      </c>
      <c r="O15" s="709"/>
      <c r="P15" s="708">
        <f>SUM(P7:Q14)</f>
        <v>0</v>
      </c>
      <c r="Q15" s="709"/>
      <c r="R15" s="706">
        <f>SUM(R7:S14)</f>
        <v>0</v>
      </c>
      <c r="S15" s="707"/>
    </row>
    <row r="17" spans="1:20" x14ac:dyDescent="0.2">
      <c r="B17" s="575" t="s">
        <v>16</v>
      </c>
      <c r="C17" s="575"/>
      <c r="D17" s="575"/>
    </row>
    <row r="18" spans="1:20" ht="26.25" thickBot="1" x14ac:dyDescent="0.25">
      <c r="B18" s="12"/>
      <c r="C18" s="12"/>
      <c r="D18" s="12"/>
      <c r="H18" s="637" t="s">
        <v>35</v>
      </c>
      <c r="I18" s="637"/>
      <c r="J18" s="637" t="s">
        <v>36</v>
      </c>
      <c r="K18" s="637"/>
      <c r="L18" s="637" t="s">
        <v>37</v>
      </c>
      <c r="M18" s="637"/>
      <c r="N18" s="637" t="s">
        <v>38</v>
      </c>
      <c r="O18" s="637"/>
      <c r="P18" s="637" t="s">
        <v>39</v>
      </c>
      <c r="Q18" s="637"/>
      <c r="R18" s="637" t="s">
        <v>40</v>
      </c>
      <c r="S18" s="637"/>
      <c r="T18" s="3" t="s">
        <v>253</v>
      </c>
    </row>
    <row r="19" spans="1:20" x14ac:dyDescent="0.2">
      <c r="A19" s="5">
        <v>1</v>
      </c>
      <c r="B19" s="719" t="s">
        <v>125</v>
      </c>
      <c r="C19" s="720"/>
      <c r="D19" s="720"/>
      <c r="E19" s="720"/>
      <c r="F19" s="720"/>
      <c r="G19" s="720"/>
      <c r="H19" s="700"/>
      <c r="I19" s="701"/>
      <c r="J19" s="700"/>
      <c r="K19" s="701"/>
      <c r="L19" s="700"/>
      <c r="M19" s="701"/>
      <c r="N19" s="700"/>
      <c r="O19" s="701"/>
      <c r="P19" s="700"/>
      <c r="Q19" s="701"/>
      <c r="R19" s="672">
        <f>SUM(H19:Q19)</f>
        <v>0</v>
      </c>
      <c r="S19" s="673"/>
      <c r="T19" s="162"/>
    </row>
    <row r="20" spans="1:20" ht="13.5" thickBot="1" x14ac:dyDescent="0.25">
      <c r="A20" s="5">
        <v>2</v>
      </c>
      <c r="B20" s="717" t="s">
        <v>17</v>
      </c>
      <c r="C20" s="718"/>
      <c r="D20" s="718"/>
      <c r="E20" s="718"/>
      <c r="F20" s="718"/>
      <c r="G20" s="718"/>
      <c r="H20" s="704"/>
      <c r="I20" s="705"/>
      <c r="J20" s="704"/>
      <c r="K20" s="705"/>
      <c r="L20" s="704"/>
      <c r="M20" s="705"/>
      <c r="N20" s="704"/>
      <c r="O20" s="705"/>
      <c r="P20" s="704"/>
      <c r="Q20" s="705"/>
      <c r="R20" s="667">
        <f>SUM(H20:Q20)</f>
        <v>0</v>
      </c>
      <c r="S20" s="668"/>
      <c r="T20" s="165"/>
    </row>
    <row r="21" spans="1:20" ht="13.5" thickBot="1" x14ac:dyDescent="0.25">
      <c r="A21" s="9"/>
      <c r="B21" s="32"/>
      <c r="C21" s="32"/>
      <c r="D21" s="32"/>
      <c r="E21" s="32"/>
      <c r="F21" s="571" t="s">
        <v>19</v>
      </c>
      <c r="G21" s="571"/>
      <c r="H21" s="670">
        <f>SUM(H19:I20)</f>
        <v>0</v>
      </c>
      <c r="I21" s="671"/>
      <c r="J21" s="670">
        <f>SUM(J19:K20)</f>
        <v>0</v>
      </c>
      <c r="K21" s="671"/>
      <c r="L21" s="670">
        <f>SUM(L19:M20)</f>
        <v>0</v>
      </c>
      <c r="M21" s="671"/>
      <c r="N21" s="670">
        <f>SUM(N19:O20)</f>
        <v>0</v>
      </c>
      <c r="O21" s="671"/>
      <c r="P21" s="670">
        <f>SUM(P19:Q20)</f>
        <v>0</v>
      </c>
      <c r="Q21" s="671"/>
      <c r="R21" s="670">
        <f>SUM(R19:S20)</f>
        <v>0</v>
      </c>
      <c r="S21" s="671"/>
      <c r="T21" s="166"/>
    </row>
    <row r="23" spans="1:20" x14ac:dyDescent="0.2">
      <c r="B23" s="575" t="s">
        <v>20</v>
      </c>
      <c r="C23" s="575"/>
      <c r="D23" s="575"/>
      <c r="E23" s="575"/>
    </row>
    <row r="24" spans="1:20" ht="26.25" thickBot="1" x14ac:dyDescent="0.25">
      <c r="B24" s="79"/>
      <c r="C24" s="79"/>
      <c r="D24" s="79"/>
      <c r="E24" s="79"/>
      <c r="F24" s="79"/>
      <c r="G24" s="79"/>
      <c r="H24" s="699" t="s">
        <v>35</v>
      </c>
      <c r="I24" s="699"/>
      <c r="J24" s="699" t="s">
        <v>36</v>
      </c>
      <c r="K24" s="699"/>
      <c r="L24" s="699" t="s">
        <v>37</v>
      </c>
      <c r="M24" s="699"/>
      <c r="N24" s="699" t="s">
        <v>38</v>
      </c>
      <c r="O24" s="699"/>
      <c r="P24" s="699" t="s">
        <v>39</v>
      </c>
      <c r="Q24" s="699"/>
      <c r="R24" s="699" t="s">
        <v>40</v>
      </c>
      <c r="S24" s="699"/>
      <c r="T24" s="3" t="s">
        <v>253</v>
      </c>
    </row>
    <row r="25" spans="1:20" x14ac:dyDescent="0.2">
      <c r="A25" s="33">
        <v>1</v>
      </c>
      <c r="B25" s="723" t="s">
        <v>27</v>
      </c>
      <c r="C25" s="724"/>
      <c r="D25" s="724"/>
      <c r="E25" s="724"/>
      <c r="F25" s="724"/>
      <c r="G25" s="724"/>
      <c r="H25" s="710"/>
      <c r="I25" s="711"/>
      <c r="J25" s="710"/>
      <c r="K25" s="711"/>
      <c r="L25" s="710"/>
      <c r="M25" s="711"/>
      <c r="N25" s="710"/>
      <c r="O25" s="711"/>
      <c r="P25" s="710"/>
      <c r="Q25" s="711"/>
      <c r="R25" s="621">
        <f>SUM(H25:Q25)</f>
        <v>0</v>
      </c>
      <c r="S25" s="622"/>
      <c r="T25" s="162"/>
    </row>
    <row r="26" spans="1:20" x14ac:dyDescent="0.2">
      <c r="A26" s="33">
        <v>2</v>
      </c>
      <c r="B26" s="602" t="s">
        <v>28</v>
      </c>
      <c r="C26" s="722"/>
      <c r="D26" s="722"/>
      <c r="E26" s="722"/>
      <c r="F26" s="722"/>
      <c r="G26" s="722"/>
      <c r="H26" s="628"/>
      <c r="I26" s="629"/>
      <c r="J26" s="628"/>
      <c r="K26" s="629"/>
      <c r="L26" s="628"/>
      <c r="M26" s="629"/>
      <c r="N26" s="628"/>
      <c r="O26" s="629"/>
      <c r="P26" s="628"/>
      <c r="Q26" s="629"/>
      <c r="R26" s="650">
        <f>SUM(H26:Q26)</f>
        <v>0</v>
      </c>
      <c r="S26" s="651"/>
      <c r="T26" s="20"/>
    </row>
    <row r="27" spans="1:20" x14ac:dyDescent="0.2">
      <c r="A27" s="33">
        <v>3</v>
      </c>
      <c r="B27" s="602" t="s">
        <v>29</v>
      </c>
      <c r="C27" s="722"/>
      <c r="D27" s="722"/>
      <c r="E27" s="722"/>
      <c r="F27" s="722"/>
      <c r="G27" s="722"/>
      <c r="H27" s="628"/>
      <c r="I27" s="629"/>
      <c r="J27" s="628"/>
      <c r="K27" s="629"/>
      <c r="L27" s="628"/>
      <c r="M27" s="629"/>
      <c r="N27" s="628"/>
      <c r="O27" s="629"/>
      <c r="P27" s="628"/>
      <c r="Q27" s="629"/>
      <c r="R27" s="650">
        <f>SUM(H27:Q27)</f>
        <v>0</v>
      </c>
      <c r="S27" s="651"/>
      <c r="T27" s="20"/>
    </row>
    <row r="28" spans="1:20" ht="13.5" thickBot="1" x14ac:dyDescent="0.25">
      <c r="A28" s="33">
        <v>4</v>
      </c>
      <c r="B28" s="600" t="s">
        <v>30</v>
      </c>
      <c r="C28" s="721"/>
      <c r="D28" s="721"/>
      <c r="E28" s="721"/>
      <c r="F28" s="721"/>
      <c r="G28" s="601"/>
      <c r="H28" s="628"/>
      <c r="I28" s="629"/>
      <c r="J28" s="628"/>
      <c r="K28" s="629"/>
      <c r="L28" s="628"/>
      <c r="M28" s="629"/>
      <c r="N28" s="628"/>
      <c r="O28" s="629"/>
      <c r="P28" s="628"/>
      <c r="Q28" s="629"/>
      <c r="R28" s="650">
        <f>SUM(H28:Q28)</f>
        <v>0</v>
      </c>
      <c r="S28" s="651"/>
      <c r="T28" s="164"/>
    </row>
    <row r="29" spans="1:20" ht="13.5" thickBot="1" x14ac:dyDescent="0.25">
      <c r="A29" s="9"/>
      <c r="B29" s="8"/>
      <c r="C29" s="618" t="s">
        <v>471</v>
      </c>
      <c r="D29" s="563"/>
      <c r="E29" s="563"/>
      <c r="F29" s="573" t="s">
        <v>59</v>
      </c>
      <c r="G29" s="574"/>
      <c r="H29" s="643">
        <f>SUM(H25:I28)</f>
        <v>0</v>
      </c>
      <c r="I29" s="644"/>
      <c r="J29" s="643">
        <f>SUM(J25:K28)</f>
        <v>0</v>
      </c>
      <c r="K29" s="644"/>
      <c r="L29" s="643">
        <f>SUM(L25:M28)</f>
        <v>0</v>
      </c>
      <c r="M29" s="644"/>
      <c r="N29" s="643">
        <f>SUM(N25:O28)</f>
        <v>0</v>
      </c>
      <c r="O29" s="644"/>
      <c r="P29" s="643">
        <f>SUM(P25:Q28)</f>
        <v>0</v>
      </c>
      <c r="Q29" s="644"/>
      <c r="R29" s="643">
        <f>SUM(R25:S28)</f>
        <v>0</v>
      </c>
      <c r="S29" s="644"/>
    </row>
    <row r="30" spans="1:20" x14ac:dyDescent="0.2">
      <c r="G30" s="9"/>
      <c r="S30" s="34"/>
    </row>
    <row r="32" spans="1:20" x14ac:dyDescent="0.2">
      <c r="B32" s="575" t="s">
        <v>22</v>
      </c>
      <c r="C32" s="575"/>
      <c r="D32" s="575"/>
      <c r="E32" s="575"/>
    </row>
    <row r="33" spans="1:20" ht="26.25" thickBot="1" x14ac:dyDescent="0.25">
      <c r="A33" s="5"/>
      <c r="H33" s="637" t="s">
        <v>35</v>
      </c>
      <c r="I33" s="637"/>
      <c r="J33" s="637" t="s">
        <v>36</v>
      </c>
      <c r="K33" s="637"/>
      <c r="L33" s="637" t="s">
        <v>37</v>
      </c>
      <c r="M33" s="637"/>
      <c r="N33" s="637" t="s">
        <v>38</v>
      </c>
      <c r="O33" s="637"/>
      <c r="P33" s="637" t="s">
        <v>39</v>
      </c>
      <c r="Q33" s="637"/>
      <c r="R33" s="637" t="s">
        <v>40</v>
      </c>
      <c r="S33" s="637"/>
      <c r="T33" s="3" t="s">
        <v>253</v>
      </c>
    </row>
    <row r="34" spans="1:20" x14ac:dyDescent="0.2">
      <c r="A34" s="5">
        <v>1</v>
      </c>
      <c r="B34" s="577" t="s">
        <v>23</v>
      </c>
      <c r="C34" s="578"/>
      <c r="D34" s="578"/>
      <c r="E34" s="578"/>
      <c r="F34" s="578"/>
      <c r="G34" s="578"/>
      <c r="H34" s="700"/>
      <c r="I34" s="701"/>
      <c r="J34" s="700"/>
      <c r="K34" s="701"/>
      <c r="L34" s="700"/>
      <c r="M34" s="701"/>
      <c r="N34" s="700"/>
      <c r="O34" s="701"/>
      <c r="P34" s="700"/>
      <c r="Q34" s="701"/>
      <c r="R34" s="672">
        <f>SUM(H34:Q34)</f>
        <v>0</v>
      </c>
      <c r="S34" s="673"/>
      <c r="T34" s="162"/>
    </row>
    <row r="35" spans="1:20" x14ac:dyDescent="0.2">
      <c r="A35" s="5">
        <v>2</v>
      </c>
      <c r="B35" s="580" t="s">
        <v>24</v>
      </c>
      <c r="C35" s="581"/>
      <c r="D35" s="581"/>
      <c r="E35" s="581"/>
      <c r="F35" s="581"/>
      <c r="G35" s="581"/>
      <c r="H35" s="628"/>
      <c r="I35" s="629"/>
      <c r="J35" s="628"/>
      <c r="K35" s="629"/>
      <c r="L35" s="628"/>
      <c r="M35" s="629"/>
      <c r="N35" s="628"/>
      <c r="O35" s="629"/>
      <c r="P35" s="628"/>
      <c r="Q35" s="629"/>
      <c r="R35" s="650">
        <f>SUM(H35:Q35)</f>
        <v>0</v>
      </c>
      <c r="S35" s="651"/>
      <c r="T35" s="20"/>
    </row>
    <row r="36" spans="1:20" x14ac:dyDescent="0.2">
      <c r="A36" s="5">
        <v>3</v>
      </c>
      <c r="B36" s="580" t="s">
        <v>25</v>
      </c>
      <c r="C36" s="581"/>
      <c r="D36" s="581"/>
      <c r="E36" s="581"/>
      <c r="F36" s="581"/>
      <c r="G36" s="581"/>
      <c r="H36" s="628"/>
      <c r="I36" s="629"/>
      <c r="J36" s="628"/>
      <c r="K36" s="629"/>
      <c r="L36" s="628"/>
      <c r="M36" s="629"/>
      <c r="N36" s="628"/>
      <c r="O36" s="629"/>
      <c r="P36" s="628"/>
      <c r="Q36" s="629"/>
      <c r="R36" s="650">
        <f t="shared" ref="R36:R46" si="1">SUM(H36:Q36)</f>
        <v>0</v>
      </c>
      <c r="S36" s="651"/>
      <c r="T36" s="20"/>
    </row>
    <row r="37" spans="1:20" x14ac:dyDescent="0.2">
      <c r="A37" s="5">
        <v>4</v>
      </c>
      <c r="B37" s="580" t="s">
        <v>214</v>
      </c>
      <c r="C37" s="581"/>
      <c r="D37" s="581"/>
      <c r="E37" s="581"/>
      <c r="F37" s="581"/>
      <c r="G37" s="581"/>
      <c r="H37" s="628"/>
      <c r="I37" s="629"/>
      <c r="J37" s="628"/>
      <c r="K37" s="629"/>
      <c r="L37" s="628"/>
      <c r="M37" s="629"/>
      <c r="N37" s="628"/>
      <c r="O37" s="629"/>
      <c r="P37" s="628"/>
      <c r="Q37" s="629"/>
      <c r="R37" s="650">
        <f t="shared" si="1"/>
        <v>0</v>
      </c>
      <c r="S37" s="651"/>
      <c r="T37" s="20"/>
    </row>
    <row r="38" spans="1:20" hidden="1" x14ac:dyDescent="0.2">
      <c r="A38" s="5">
        <v>5</v>
      </c>
      <c r="B38" s="580" t="s">
        <v>219</v>
      </c>
      <c r="C38" s="581"/>
      <c r="D38" s="581"/>
      <c r="E38" s="581"/>
      <c r="F38" s="581"/>
      <c r="G38" s="581"/>
      <c r="H38" s="678">
        <f>SUM(H90,I90)</f>
        <v>0</v>
      </c>
      <c r="I38" s="679"/>
      <c r="J38" s="678">
        <f>SUM(J90,K90)</f>
        <v>0</v>
      </c>
      <c r="K38" s="679"/>
      <c r="L38" s="678">
        <f>SUM(L90,M90)</f>
        <v>0</v>
      </c>
      <c r="M38" s="679"/>
      <c r="N38" s="678">
        <f>SUM(N90,O90)</f>
        <v>0</v>
      </c>
      <c r="O38" s="679"/>
      <c r="P38" s="678">
        <f>SUM(P90,Q90)</f>
        <v>0</v>
      </c>
      <c r="Q38" s="679"/>
      <c r="R38" s="650">
        <f t="shared" si="1"/>
        <v>0</v>
      </c>
      <c r="S38" s="651"/>
      <c r="T38" s="20"/>
    </row>
    <row r="39" spans="1:20" x14ac:dyDescent="0.2">
      <c r="A39" s="5">
        <v>5</v>
      </c>
      <c r="B39" s="669" t="s">
        <v>405</v>
      </c>
      <c r="C39" s="581"/>
      <c r="D39" s="581"/>
      <c r="E39" s="581"/>
      <c r="F39" s="581"/>
      <c r="G39" s="581"/>
      <c r="H39" s="628"/>
      <c r="I39" s="629"/>
      <c r="J39" s="628"/>
      <c r="K39" s="629"/>
      <c r="L39" s="628"/>
      <c r="M39" s="629"/>
      <c r="N39" s="628"/>
      <c r="O39" s="629"/>
      <c r="P39" s="628"/>
      <c r="Q39" s="629"/>
      <c r="R39" s="650">
        <f t="shared" si="1"/>
        <v>0</v>
      </c>
      <c r="S39" s="651"/>
      <c r="T39" s="20"/>
    </row>
    <row r="40" spans="1:20" x14ac:dyDescent="0.2">
      <c r="A40" s="5">
        <v>6</v>
      </c>
      <c r="B40" s="580" t="s">
        <v>216</v>
      </c>
      <c r="C40" s="581"/>
      <c r="D40" s="581"/>
      <c r="E40" s="581"/>
      <c r="F40" s="581"/>
      <c r="G40" s="581"/>
      <c r="H40" s="628"/>
      <c r="I40" s="629"/>
      <c r="J40" s="628"/>
      <c r="K40" s="629"/>
      <c r="L40" s="628"/>
      <c r="M40" s="629"/>
      <c r="N40" s="628"/>
      <c r="O40" s="629"/>
      <c r="P40" s="628"/>
      <c r="Q40" s="629"/>
      <c r="R40" s="650">
        <f t="shared" si="1"/>
        <v>0</v>
      </c>
      <c r="S40" s="651"/>
      <c r="T40" s="20"/>
    </row>
    <row r="41" spans="1:20" hidden="1" x14ac:dyDescent="0.2">
      <c r="A41" s="5">
        <v>7</v>
      </c>
      <c r="B41" s="580" t="s">
        <v>429</v>
      </c>
      <c r="C41" s="581"/>
      <c r="D41" s="630" t="s">
        <v>111</v>
      </c>
      <c r="E41" s="630"/>
      <c r="F41" s="631" t="s">
        <v>513</v>
      </c>
      <c r="G41" s="632"/>
      <c r="H41" s="628"/>
      <c r="I41" s="629"/>
      <c r="J41" s="628"/>
      <c r="K41" s="629"/>
      <c r="L41" s="628"/>
      <c r="M41" s="629"/>
      <c r="N41" s="628"/>
      <c r="O41" s="629"/>
      <c r="P41" s="628"/>
      <c r="Q41" s="629"/>
      <c r="R41" s="650">
        <f t="shared" si="1"/>
        <v>0</v>
      </c>
      <c r="S41" s="651"/>
      <c r="T41" s="20"/>
    </row>
    <row r="42" spans="1:20" s="259" customFormat="1" hidden="1" x14ac:dyDescent="0.2">
      <c r="A42" s="5">
        <v>8</v>
      </c>
      <c r="B42" s="623" t="s">
        <v>430</v>
      </c>
      <c r="C42" s="624"/>
      <c r="D42" s="624"/>
      <c r="E42" s="624"/>
      <c r="F42" s="624"/>
      <c r="G42" s="625"/>
      <c r="H42" s="628"/>
      <c r="I42" s="629"/>
      <c r="J42" s="628"/>
      <c r="K42" s="629"/>
      <c r="L42" s="628"/>
      <c r="M42" s="629"/>
      <c r="N42" s="628"/>
      <c r="O42" s="629"/>
      <c r="P42" s="628"/>
      <c r="Q42" s="629"/>
      <c r="R42" s="650">
        <f>SUM(H42:Q42)</f>
        <v>0</v>
      </c>
      <c r="S42" s="651"/>
      <c r="T42" s="247"/>
    </row>
    <row r="43" spans="1:20" s="259" customFormat="1" x14ac:dyDescent="0.2">
      <c r="A43" s="5">
        <v>7</v>
      </c>
      <c r="B43" s="626" t="s">
        <v>431</v>
      </c>
      <c r="C43" s="627"/>
      <c r="D43" s="627"/>
      <c r="E43" s="627"/>
      <c r="F43" s="627"/>
      <c r="G43" s="627"/>
      <c r="H43" s="628"/>
      <c r="I43" s="629"/>
      <c r="J43" s="628"/>
      <c r="K43" s="629"/>
      <c r="L43" s="628"/>
      <c r="M43" s="629"/>
      <c r="N43" s="628"/>
      <c r="O43" s="629"/>
      <c r="P43" s="628"/>
      <c r="Q43" s="629"/>
      <c r="R43" s="621">
        <f t="shared" ref="R43" si="2">SUM(H43:Q43)</f>
        <v>0</v>
      </c>
      <c r="S43" s="622"/>
      <c r="T43" s="18"/>
    </row>
    <row r="44" spans="1:20" s="245" customFormat="1" x14ac:dyDescent="0.2">
      <c r="A44" s="5">
        <v>8</v>
      </c>
      <c r="B44" s="652" t="s">
        <v>217</v>
      </c>
      <c r="C44" s="653"/>
      <c r="D44" s="653"/>
      <c r="E44" s="653"/>
      <c r="F44" s="653"/>
      <c r="G44" s="653"/>
      <c r="H44" s="628"/>
      <c r="I44" s="629"/>
      <c r="J44" s="628"/>
      <c r="K44" s="629"/>
      <c r="L44" s="628"/>
      <c r="M44" s="629"/>
      <c r="N44" s="628"/>
      <c r="O44" s="629"/>
      <c r="P44" s="628"/>
      <c r="Q44" s="629"/>
      <c r="R44" s="650">
        <f t="shared" ref="R44" si="3">SUM(H44:Q44)</f>
        <v>0</v>
      </c>
      <c r="S44" s="651"/>
      <c r="T44" s="20"/>
    </row>
    <row r="45" spans="1:20" s="245" customFormat="1" x14ac:dyDescent="0.2">
      <c r="A45" s="5">
        <v>9</v>
      </c>
      <c r="B45" s="652" t="s">
        <v>217</v>
      </c>
      <c r="C45" s="653"/>
      <c r="D45" s="653"/>
      <c r="E45" s="653"/>
      <c r="F45" s="653"/>
      <c r="G45" s="653"/>
      <c r="H45" s="628"/>
      <c r="I45" s="629"/>
      <c r="J45" s="628"/>
      <c r="K45" s="629"/>
      <c r="L45" s="628"/>
      <c r="M45" s="629"/>
      <c r="N45" s="628"/>
      <c r="O45" s="629"/>
      <c r="P45" s="628"/>
      <c r="Q45" s="629"/>
      <c r="R45" s="650">
        <f>SUM(H45:Q45)</f>
        <v>0</v>
      </c>
      <c r="S45" s="651"/>
      <c r="T45" s="247"/>
    </row>
    <row r="46" spans="1:20" x14ac:dyDescent="0.2">
      <c r="A46" s="5">
        <v>10</v>
      </c>
      <c r="B46" s="626" t="s">
        <v>217</v>
      </c>
      <c r="C46" s="627"/>
      <c r="D46" s="627"/>
      <c r="E46" s="627"/>
      <c r="F46" s="627"/>
      <c r="G46" s="627"/>
      <c r="H46" s="628"/>
      <c r="I46" s="629"/>
      <c r="J46" s="628"/>
      <c r="K46" s="629"/>
      <c r="L46" s="628"/>
      <c r="M46" s="629"/>
      <c r="N46" s="628"/>
      <c r="O46" s="629"/>
      <c r="P46" s="628"/>
      <c r="Q46" s="629"/>
      <c r="R46" s="621">
        <f t="shared" si="1"/>
        <v>0</v>
      </c>
      <c r="S46" s="622"/>
      <c r="T46" s="18"/>
    </row>
    <row r="47" spans="1:20" ht="13.5" thickBot="1" x14ac:dyDescent="0.25">
      <c r="A47" s="5">
        <v>11</v>
      </c>
      <c r="B47" s="702" t="s">
        <v>217</v>
      </c>
      <c r="C47" s="703"/>
      <c r="D47" s="703"/>
      <c r="E47" s="703"/>
      <c r="F47" s="703"/>
      <c r="G47" s="703"/>
      <c r="H47" s="628"/>
      <c r="I47" s="629"/>
      <c r="J47" s="628"/>
      <c r="K47" s="629"/>
      <c r="L47" s="628"/>
      <c r="M47" s="629"/>
      <c r="N47" s="628"/>
      <c r="O47" s="629"/>
      <c r="P47" s="628"/>
      <c r="Q47" s="629"/>
      <c r="R47" s="667">
        <f>SUM(H47:Q47)</f>
        <v>0</v>
      </c>
      <c r="S47" s="668"/>
      <c r="T47" s="163"/>
    </row>
    <row r="48" spans="1:20" ht="13.5" thickBot="1" x14ac:dyDescent="0.25">
      <c r="E48" s="573" t="s">
        <v>31</v>
      </c>
      <c r="F48" s="573"/>
      <c r="G48" s="574"/>
      <c r="H48" s="670">
        <f>SUM(H34:I47)</f>
        <v>0</v>
      </c>
      <c r="I48" s="671"/>
      <c r="J48" s="670">
        <f>SUM(J34:K47)</f>
        <v>0</v>
      </c>
      <c r="K48" s="671"/>
      <c r="L48" s="670">
        <f>SUM(L34:M47)</f>
        <v>0</v>
      </c>
      <c r="M48" s="671"/>
      <c r="N48" s="670">
        <f>SUM(N34:O47)</f>
        <v>0</v>
      </c>
      <c r="O48" s="671"/>
      <c r="P48" s="670">
        <f>SUM(P34:Q47)</f>
        <v>0</v>
      </c>
      <c r="Q48" s="671"/>
      <c r="R48" s="670">
        <f>SUM(R34:S47)</f>
        <v>0</v>
      </c>
      <c r="S48" s="671"/>
    </row>
    <row r="50" spans="1:20" x14ac:dyDescent="0.2">
      <c r="B50" s="575" t="s">
        <v>32</v>
      </c>
      <c r="C50" s="575"/>
      <c r="D50" s="575"/>
      <c r="E50" s="575"/>
    </row>
    <row r="51" spans="1:20" ht="13.5" thickBot="1" x14ac:dyDescent="0.25">
      <c r="H51" s="637" t="s">
        <v>35</v>
      </c>
      <c r="I51" s="637"/>
      <c r="J51" s="637" t="s">
        <v>36</v>
      </c>
      <c r="K51" s="637"/>
      <c r="L51" s="637" t="s">
        <v>37</v>
      </c>
      <c r="M51" s="637"/>
      <c r="N51" s="637" t="s">
        <v>38</v>
      </c>
      <c r="O51" s="637"/>
      <c r="P51" s="637" t="s">
        <v>39</v>
      </c>
      <c r="Q51" s="637"/>
      <c r="R51" s="637" t="s">
        <v>40</v>
      </c>
      <c r="S51" s="637"/>
    </row>
    <row r="52" spans="1:20" ht="13.5" thickBot="1" x14ac:dyDescent="0.25">
      <c r="D52" s="665" t="s">
        <v>48</v>
      </c>
      <c r="E52" s="665"/>
      <c r="F52" s="665"/>
      <c r="G52" s="665"/>
      <c r="H52" s="643">
        <f>SUM('Personnel Yr 1'!N30,H15,H21,H29,H48)</f>
        <v>0</v>
      </c>
      <c r="I52" s="666"/>
      <c r="J52" s="643">
        <f>SUM('Personnel Yr 2'!N30,J15,J21,J29,J48)</f>
        <v>0</v>
      </c>
      <c r="K52" s="666"/>
      <c r="L52" s="643">
        <f>SUM('Personnel Yr 3'!N30,L15,L21,L29,L48)</f>
        <v>0</v>
      </c>
      <c r="M52" s="666"/>
      <c r="N52" s="643">
        <f>SUM('Personnel Yr 4'!N30,N15,N21,N29,N48)</f>
        <v>0</v>
      </c>
      <c r="O52" s="666"/>
      <c r="P52" s="643">
        <f>SUM('Personnel Yr 5'!N30,P15,P21,P29,P48)</f>
        <v>0</v>
      </c>
      <c r="Q52" s="666"/>
      <c r="R52" s="643">
        <f>SUM(H52:Q52)</f>
        <v>0</v>
      </c>
      <c r="S52" s="644"/>
    </row>
    <row r="53" spans="1:20" hidden="1" x14ac:dyDescent="0.2"/>
    <row r="54" spans="1:20" hidden="1" x14ac:dyDescent="0.2">
      <c r="B54" s="575" t="s">
        <v>117</v>
      </c>
      <c r="C54" s="575"/>
      <c r="D54" s="575"/>
      <c r="E54" s="575"/>
      <c r="F54" s="575"/>
      <c r="G54" s="575"/>
    </row>
    <row r="55" spans="1:20" hidden="1" x14ac:dyDescent="0.2">
      <c r="B55" s="12"/>
      <c r="C55" s="12"/>
      <c r="D55" s="575" t="s">
        <v>113</v>
      </c>
      <c r="E55" s="575"/>
      <c r="F55" s="575"/>
      <c r="G55" s="12"/>
    </row>
    <row r="56" spans="1:20" ht="26.25" hidden="1" thickBot="1" x14ac:dyDescent="0.25">
      <c r="A56" s="13" t="s">
        <v>50</v>
      </c>
      <c r="B56" s="202" t="s">
        <v>116</v>
      </c>
      <c r="C56" s="699" t="s">
        <v>114</v>
      </c>
      <c r="D56" s="699"/>
      <c r="E56" s="699"/>
      <c r="F56" s="637" t="s">
        <v>115</v>
      </c>
      <c r="G56" s="637"/>
      <c r="H56" s="637" t="s">
        <v>35</v>
      </c>
      <c r="I56" s="637"/>
      <c r="J56" s="637" t="s">
        <v>36</v>
      </c>
      <c r="K56" s="637"/>
      <c r="L56" s="637" t="s">
        <v>37</v>
      </c>
      <c r="M56" s="637"/>
      <c r="N56" s="637" t="s">
        <v>38</v>
      </c>
      <c r="O56" s="637"/>
      <c r="P56" s="637" t="s">
        <v>39</v>
      </c>
      <c r="Q56" s="637"/>
      <c r="R56" s="637" t="s">
        <v>40</v>
      </c>
      <c r="S56" s="637"/>
      <c r="T56" s="3" t="s">
        <v>253</v>
      </c>
    </row>
    <row r="57" spans="1:20" hidden="1" x14ac:dyDescent="0.2">
      <c r="A57" s="5">
        <v>1</v>
      </c>
      <c r="B57" s="248" t="s">
        <v>470</v>
      </c>
      <c r="C57" s="687">
        <v>0</v>
      </c>
      <c r="D57" s="688"/>
      <c r="E57" s="689"/>
      <c r="F57" s="680">
        <f>IF(B57="MTDC-NonFed",H52-H15-H42-H41-H40-H39-H38+H91,IF(B57="TDC",H52,IF(B57="SWFB",'Personnel Yr 1'!N30, IF(B57="MTDC-Fed",H52-H15-H42-H41-H40-H39-H38+H91-H29))))</f>
        <v>0</v>
      </c>
      <c r="G57" s="681"/>
      <c r="H57" s="682">
        <f>ROUND(F57*IFERROR(LOOKUP(C57,IDCDesc,IDCRate),C57),0)</f>
        <v>0</v>
      </c>
      <c r="I57" s="683"/>
      <c r="J57" s="674"/>
      <c r="K57" s="675"/>
      <c r="L57" s="674"/>
      <c r="M57" s="675"/>
      <c r="N57" s="674"/>
      <c r="O57" s="675"/>
      <c r="P57" s="674"/>
      <c r="Q57" s="675"/>
      <c r="R57" s="674"/>
      <c r="S57" s="675"/>
      <c r="T57" s="162"/>
    </row>
    <row r="58" spans="1:20" hidden="1" x14ac:dyDescent="0.2">
      <c r="A58" s="5">
        <v>2</v>
      </c>
      <c r="B58" s="240" t="str">
        <f>B57</f>
        <v>MTDC-NonFed</v>
      </c>
      <c r="C58" s="690">
        <v>0</v>
      </c>
      <c r="D58" s="691"/>
      <c r="E58" s="692"/>
      <c r="F58" s="684" t="str">
        <f>IF(J52=0,"",IF(B58="MTDC-NonFed",J52-J15-J42-J41-J40-J39-J38+J91,IF(B58="TDC",J52,IF(B58="SWFB",'Personnel Yr 2'!N30, IF(B58="MTDC-Fed",J52-J15-J42-J41-J40-J39-J38+J91-J29)))))</f>
        <v/>
      </c>
      <c r="G58" s="649"/>
      <c r="H58" s="685"/>
      <c r="I58" s="686"/>
      <c r="J58" s="648">
        <f>IF(F58="",0,ROUND(F58*IFERROR(LOOKUP(C58,IDCDesc2,IDCRate2),C58),0))</f>
        <v>0</v>
      </c>
      <c r="K58" s="649"/>
      <c r="L58" s="633"/>
      <c r="M58" s="634"/>
      <c r="N58" s="633"/>
      <c r="O58" s="634"/>
      <c r="P58" s="633"/>
      <c r="Q58" s="634"/>
      <c r="R58" s="633"/>
      <c r="S58" s="634"/>
      <c r="T58" s="20"/>
    </row>
    <row r="59" spans="1:20" hidden="1" x14ac:dyDescent="0.2">
      <c r="A59" s="5">
        <v>3</v>
      </c>
      <c r="B59" s="240" t="str">
        <f>B57</f>
        <v>MTDC-NonFed</v>
      </c>
      <c r="C59" s="690">
        <v>0</v>
      </c>
      <c r="D59" s="691"/>
      <c r="E59" s="692"/>
      <c r="F59" s="684" t="str">
        <f>IF(L52=0,"",IF(B59="MTDC-NonFed",L52-L15-L42-L41-L40-L39-L38+L91,IF(B59="TDC",L52,IF(B59="SWFB",'Personnel Yr 3'!N30, IF(B59="MTDC-Fed",L52-L15-L42-L41-L40-L39-L38+L91-L29)))))</f>
        <v/>
      </c>
      <c r="G59" s="649"/>
      <c r="H59" s="685"/>
      <c r="I59" s="686"/>
      <c r="J59" s="633"/>
      <c r="K59" s="634"/>
      <c r="L59" s="648">
        <f>IF(F59="",0,ROUND(F59*IFERROR(LOOKUP(C59,IDCDesc2,IDCRate2),C59),0))</f>
        <v>0</v>
      </c>
      <c r="M59" s="649"/>
      <c r="N59" s="633"/>
      <c r="O59" s="634"/>
      <c r="P59" s="633"/>
      <c r="Q59" s="634"/>
      <c r="R59" s="633"/>
      <c r="S59" s="634"/>
      <c r="T59" s="20"/>
    </row>
    <row r="60" spans="1:20" hidden="1" x14ac:dyDescent="0.2">
      <c r="A60" s="33">
        <v>4</v>
      </c>
      <c r="B60" s="240" t="str">
        <f>B57</f>
        <v>MTDC-NonFed</v>
      </c>
      <c r="C60" s="690">
        <v>0</v>
      </c>
      <c r="D60" s="691"/>
      <c r="E60" s="692"/>
      <c r="F60" s="684" t="str">
        <f>IF(N52=0,"",IF(B60="MTDC-NonFed",N52-N15-N42-N41-N40-N39-N38+N91,IF(B60="TDC",N52,IF(B60="SWFB",'Personnel Yr 4'!N30, IF(B60="MTDC-Fed",N52-N15-N42-N41-N40-N39-N38+N91-N29)))))</f>
        <v/>
      </c>
      <c r="G60" s="649"/>
      <c r="H60" s="685"/>
      <c r="I60" s="686"/>
      <c r="J60" s="633"/>
      <c r="K60" s="634"/>
      <c r="L60" s="633"/>
      <c r="M60" s="634"/>
      <c r="N60" s="729">
        <f>IF(F60="",0,ROUND(F60*IFERROR(LOOKUP(C60,IDCDesc2,IDCRate2),C60),0))</f>
        <v>0</v>
      </c>
      <c r="O60" s="730"/>
      <c r="P60" s="633"/>
      <c r="Q60" s="634"/>
      <c r="R60" s="633"/>
      <c r="S60" s="634"/>
      <c r="T60" s="20"/>
    </row>
    <row r="61" spans="1:20" ht="13.5" hidden="1" thickBot="1" x14ac:dyDescent="0.25">
      <c r="A61" s="5">
        <v>5</v>
      </c>
      <c r="B61" s="246" t="str">
        <f>B57</f>
        <v>MTDC-NonFed</v>
      </c>
      <c r="C61" s="696">
        <v>0</v>
      </c>
      <c r="D61" s="697"/>
      <c r="E61" s="698"/>
      <c r="F61" s="693" t="str">
        <f>IF(P52=0,"",IF(B61="MTDC-NonFed",P52-P15-P42-P41-P40-P39-P38+P91,IF(B61="TDC",P52,IF(B61="SWFB",'Personnel Yr 5'!N30, IF(B61="MTDC-Fed",P52-P15-P42-P41-P40-P39-P38+P91-P29)))))</f>
        <v/>
      </c>
      <c r="G61" s="694"/>
      <c r="H61" s="635"/>
      <c r="I61" s="695"/>
      <c r="J61" s="647"/>
      <c r="K61" s="636"/>
      <c r="L61" s="647"/>
      <c r="M61" s="636"/>
      <c r="N61" s="647"/>
      <c r="O61" s="636"/>
      <c r="P61" s="676">
        <f>IF(F61="",0,ROUND(F61*IFERROR(LOOKUP(C61,IDCDesc2,IDCRate2),C61),0))</f>
        <v>0</v>
      </c>
      <c r="Q61" s="677"/>
      <c r="R61" s="635"/>
      <c r="S61" s="636"/>
      <c r="T61" s="164"/>
    </row>
    <row r="62" spans="1:20" ht="13.5" hidden="1" thickBot="1" x14ac:dyDescent="0.25">
      <c r="F62" s="573" t="s">
        <v>33</v>
      </c>
      <c r="G62" s="573"/>
      <c r="H62" s="645">
        <f>SUM(H57:I61)</f>
        <v>0</v>
      </c>
      <c r="I62" s="646"/>
      <c r="J62" s="645">
        <f>SUM(J57:K61)</f>
        <v>0</v>
      </c>
      <c r="K62" s="646"/>
      <c r="L62" s="645">
        <f>SUM(L57:M61)</f>
        <v>0</v>
      </c>
      <c r="M62" s="646"/>
      <c r="N62" s="645">
        <f>SUM(N57:O61)</f>
        <v>0</v>
      </c>
      <c r="O62" s="646"/>
      <c r="P62" s="645">
        <f>SUM(P57:Q61)</f>
        <v>0</v>
      </c>
      <c r="Q62" s="646"/>
      <c r="R62" s="645">
        <f>SUM(H62:Q62)</f>
        <v>0</v>
      </c>
      <c r="S62" s="646"/>
    </row>
    <row r="63" spans="1:20" hidden="1" x14ac:dyDescent="0.2"/>
    <row r="64" spans="1:20" hidden="1" x14ac:dyDescent="0.2">
      <c r="B64" s="575" t="s">
        <v>118</v>
      </c>
      <c r="C64" s="575"/>
      <c r="D64" s="575"/>
      <c r="E64" s="575"/>
    </row>
    <row r="65" spans="1:20" ht="13.5" hidden="1" thickBot="1" x14ac:dyDescent="0.25">
      <c r="B65" s="12"/>
      <c r="C65" s="12"/>
      <c r="D65" s="12"/>
      <c r="E65" s="12"/>
      <c r="H65" s="637" t="s">
        <v>35</v>
      </c>
      <c r="I65" s="637"/>
      <c r="J65" s="637" t="s">
        <v>36</v>
      </c>
      <c r="K65" s="637"/>
      <c r="L65" s="637" t="s">
        <v>37</v>
      </c>
      <c r="M65" s="637"/>
      <c r="N65" s="637" t="s">
        <v>38</v>
      </c>
      <c r="O65" s="637"/>
      <c r="P65" s="637" t="s">
        <v>39</v>
      </c>
      <c r="Q65" s="637"/>
      <c r="R65" s="637" t="s">
        <v>40</v>
      </c>
      <c r="S65" s="637"/>
    </row>
    <row r="66" spans="1:20" ht="13.5" hidden="1" customHeight="1" thickBot="1" x14ac:dyDescent="0.25">
      <c r="C66" s="571" t="s">
        <v>119</v>
      </c>
      <c r="D66" s="571"/>
      <c r="E66" s="571"/>
      <c r="F66" s="571"/>
      <c r="G66" s="571"/>
      <c r="H66" s="643">
        <f>SUM(H52,H62)</f>
        <v>0</v>
      </c>
      <c r="I66" s="644"/>
      <c r="J66" s="643">
        <f>SUM(J52,J62)</f>
        <v>0</v>
      </c>
      <c r="K66" s="644"/>
      <c r="L66" s="643">
        <f>SUM(L52,L62)</f>
        <v>0</v>
      </c>
      <c r="M66" s="644"/>
      <c r="N66" s="643">
        <f>SUM(N52,N62)</f>
        <v>0</v>
      </c>
      <c r="O66" s="644"/>
      <c r="P66" s="643">
        <f>SUM(P52,P62)</f>
        <v>0</v>
      </c>
      <c r="Q66" s="644"/>
      <c r="R66" s="643">
        <f>SUM(H66:Q66)</f>
        <v>0</v>
      </c>
      <c r="S66" s="644"/>
    </row>
    <row r="67" spans="1:20" ht="13.5" hidden="1" customHeight="1" x14ac:dyDescent="0.2"/>
    <row r="68" spans="1:20" ht="25.5" hidden="1" x14ac:dyDescent="0.2">
      <c r="B68" s="637" t="s">
        <v>26</v>
      </c>
      <c r="C68" s="637"/>
      <c r="D68" s="637"/>
      <c r="E68" s="637"/>
      <c r="F68" s="637"/>
      <c r="G68" s="637"/>
      <c r="H68" s="637" t="s">
        <v>35</v>
      </c>
      <c r="I68" s="637"/>
      <c r="J68" s="637" t="s">
        <v>36</v>
      </c>
      <c r="K68" s="637"/>
      <c r="L68" s="637" t="s">
        <v>37</v>
      </c>
      <c r="M68" s="637"/>
      <c r="N68" s="637" t="s">
        <v>38</v>
      </c>
      <c r="O68" s="637"/>
      <c r="P68" s="637" t="s">
        <v>39</v>
      </c>
      <c r="Q68" s="637"/>
      <c r="R68" s="637" t="s">
        <v>40</v>
      </c>
      <c r="S68" s="637"/>
      <c r="T68" s="3" t="s">
        <v>253</v>
      </c>
    </row>
    <row r="69" spans="1:20" s="329" customFormat="1" ht="13.5" hidden="1" thickBot="1" x14ac:dyDescent="0.25">
      <c r="B69" s="330"/>
      <c r="C69" s="330"/>
      <c r="D69" s="330"/>
      <c r="E69" s="330"/>
      <c r="F69" s="330"/>
      <c r="G69" s="330"/>
      <c r="H69" s="405" t="s">
        <v>512</v>
      </c>
      <c r="I69" s="405"/>
      <c r="J69" s="331" t="s">
        <v>512</v>
      </c>
      <c r="K69" s="331"/>
      <c r="L69" s="331" t="s">
        <v>451</v>
      </c>
      <c r="M69" s="331" t="s">
        <v>452</v>
      </c>
      <c r="N69" s="331" t="s">
        <v>451</v>
      </c>
      <c r="O69" s="331" t="s">
        <v>452</v>
      </c>
      <c r="P69" s="331" t="s">
        <v>451</v>
      </c>
      <c r="Q69" s="331" t="s">
        <v>452</v>
      </c>
      <c r="R69" s="331" t="s">
        <v>512</v>
      </c>
      <c r="S69" s="331"/>
      <c r="T69" s="328"/>
    </row>
    <row r="70" spans="1:20" ht="13.5" hidden="1" customHeight="1" x14ac:dyDescent="0.2">
      <c r="A70" s="5">
        <v>1</v>
      </c>
      <c r="B70" s="753"/>
      <c r="C70" s="754"/>
      <c r="D70" s="754"/>
      <c r="E70" s="754"/>
      <c r="F70" s="754"/>
      <c r="G70" s="755"/>
      <c r="H70" s="419"/>
      <c r="I70" s="459"/>
      <c r="J70" s="276"/>
      <c r="K70" s="460"/>
      <c r="L70" s="276"/>
      <c r="M70" s="275"/>
      <c r="N70" s="276"/>
      <c r="O70" s="275"/>
      <c r="P70" s="276"/>
      <c r="Q70" s="275"/>
      <c r="R70" s="463">
        <f>SUM(P70,N70,L70,J70,H70)</f>
        <v>0</v>
      </c>
      <c r="S70" s="462"/>
      <c r="T70" s="162"/>
    </row>
    <row r="71" spans="1:20" ht="13.5" hidden="1" customHeight="1" x14ac:dyDescent="0.2">
      <c r="A71" s="5"/>
      <c r="B71" s="750"/>
      <c r="C71" s="751"/>
      <c r="D71" s="751"/>
      <c r="E71" s="751"/>
      <c r="F71" s="751"/>
      <c r="G71" s="752"/>
      <c r="H71" s="638">
        <f>IF(SUM(H70,I70)&gt;25000,25000,SUM(H70,I70))</f>
        <v>0</v>
      </c>
      <c r="I71" s="639">
        <f>IF(I70&gt;25000,25000,I70)</f>
        <v>0</v>
      </c>
      <c r="J71" s="640">
        <f>IF(SUM(H70:K70)&gt;=25000,IF(SUM(H70,I70)&gt;=25000, 0, 25000-SUM(H70,I70)),SUM(J70,K70))</f>
        <v>0</v>
      </c>
      <c r="K71" s="642">
        <f>IF(SUM(J70:K70)&gt;=25000,IF(SUM(J70)&gt;=25000, 0, 25000-SUM(J70)),K70)</f>
        <v>0</v>
      </c>
      <c r="L71" s="640">
        <f>IF(SUM(H70:M70)&gt;=25000,IF(SUM(H70:K70)&gt;=25000, 0, 25000-SUM(H70:K70)),SUM(L70,M70))</f>
        <v>0</v>
      </c>
      <c r="M71" s="641">
        <f>IF(SUM(K70:M70)&gt;=25000,IF(SUM(K70:L70)&gt;=25000, 0, 25000-SUM(K70:L70)),M70)</f>
        <v>0</v>
      </c>
      <c r="N71" s="640">
        <f>IF(SUM(H70:O70)&gt;=25000,IF(SUM(H70:M70)&gt;=25000, 0, 25000-SUM(H70:M70)),SUM(N70,O70))</f>
        <v>0</v>
      </c>
      <c r="O71" s="641">
        <f>IF(SUM(L70:O70)&gt;=25000,IF(SUM(L70:N70)&gt;=25000, 0, 25000-SUM(L70:N70)),O70)</f>
        <v>0</v>
      </c>
      <c r="P71" s="640">
        <f>IF(SUM(H70:Q70)&gt;=25000,IF(SUM(H70:O70)&gt;=25000, 0, 25000-SUM(H70:O70)),SUM(P70,Q70))</f>
        <v>0</v>
      </c>
      <c r="Q71" s="641">
        <f>IF(SUM(M70:Q70)&gt;=25000,IF(SUM(M70:P70)&gt;=25000, 0, 25000-SUM(M70:P70)),Q70)</f>
        <v>0</v>
      </c>
      <c r="R71" s="736">
        <f t="shared" ref="R71" si="4">SUM(H71:Q71)</f>
        <v>0</v>
      </c>
      <c r="S71" s="737"/>
      <c r="T71" s="20"/>
    </row>
    <row r="72" spans="1:20" ht="13.5" hidden="1" customHeight="1" x14ac:dyDescent="0.2">
      <c r="A72" s="5">
        <v>2</v>
      </c>
      <c r="B72" s="742"/>
      <c r="C72" s="743"/>
      <c r="D72" s="743"/>
      <c r="E72" s="743"/>
      <c r="F72" s="743"/>
      <c r="G72" s="744"/>
      <c r="H72" s="424"/>
      <c r="I72" s="460"/>
      <c r="J72" s="278"/>
      <c r="K72" s="460"/>
      <c r="L72" s="278"/>
      <c r="M72" s="277"/>
      <c r="N72" s="278"/>
      <c r="O72" s="277"/>
      <c r="P72" s="278"/>
      <c r="Q72" s="277"/>
      <c r="R72" s="465">
        <f>SUM(P72,N72,L72,J72,H72)</f>
        <v>0</v>
      </c>
      <c r="S72" s="462"/>
      <c r="T72" s="20"/>
    </row>
    <row r="73" spans="1:20" ht="13.5" hidden="1" customHeight="1" x14ac:dyDescent="0.2">
      <c r="A73" s="5"/>
      <c r="B73" s="739"/>
      <c r="C73" s="740"/>
      <c r="D73" s="740"/>
      <c r="E73" s="740"/>
      <c r="F73" s="740"/>
      <c r="G73" s="741"/>
      <c r="H73" s="663">
        <f>IF(SUM(H72,I72)&gt;25000,25000,SUM(H72,I72))</f>
        <v>0</v>
      </c>
      <c r="I73" s="757">
        <f>IF(I72&gt;25000,25000,I72)</f>
        <v>0</v>
      </c>
      <c r="J73" s="660">
        <f>IF(SUM(H72:K72)&gt;=25000,IF(SUM(H72,I72)&gt;=25000, 0, 25000-SUM(H72,I72)),SUM(J72,K72))</f>
        <v>0</v>
      </c>
      <c r="K73" s="749">
        <f>IF(SUM(J72:K72)&gt;=25000,IF(SUM(J72)&gt;=25000, 0, 25000-SUM(J72)),K72)</f>
        <v>0</v>
      </c>
      <c r="L73" s="660">
        <f>IF(SUM(H72:M72)&gt;=25000,IF(SUM(H72:K72)&gt;=25000, 0, 25000-SUM(H72:K72)),SUM(L72,M72))</f>
        <v>0</v>
      </c>
      <c r="M73" s="662">
        <f>IF(SUM(K72:M72)&gt;=25000,IF(SUM(K72:L72)&gt;=25000, 0, 25000-SUM(K72:L72)),M72)</f>
        <v>0</v>
      </c>
      <c r="N73" s="660">
        <f>IF(SUM(H72:O72)&gt;=25000,IF(SUM(H72:M72)&gt;=25000, 0, 25000-SUM(H72:M72)),SUM(N72,O72))</f>
        <v>0</v>
      </c>
      <c r="O73" s="662">
        <f>IF(SUM(L72:O72)&gt;=25000,IF(SUM(L72:N72)&gt;=25000, 0, 25000-SUM(L72:N72)),O72)</f>
        <v>0</v>
      </c>
      <c r="P73" s="660">
        <f>IF(SUM(H72:Q72)&gt;=25000,IF(SUM(H72:O72)&gt;=25000, 0, 25000-SUM(H72:O72)),SUM(P72,Q72))</f>
        <v>0</v>
      </c>
      <c r="Q73" s="662">
        <f>IF(SUM(M72:Q72)&gt;=25000,IF(SUM(M72:P72)&gt;=25000, 0, 25000-SUM(M72:P72)),Q72)</f>
        <v>0</v>
      </c>
      <c r="R73" s="734">
        <f t="shared" ref="R73:R89" si="5">SUM(H73:Q73)</f>
        <v>0</v>
      </c>
      <c r="S73" s="735"/>
      <c r="T73" s="20"/>
    </row>
    <row r="74" spans="1:20" ht="13.5" hidden="1" customHeight="1" thickBot="1" x14ac:dyDescent="0.25">
      <c r="A74" s="5">
        <v>3</v>
      </c>
      <c r="B74" s="742"/>
      <c r="C74" s="743"/>
      <c r="D74" s="743"/>
      <c r="E74" s="743"/>
      <c r="F74" s="743"/>
      <c r="G74" s="744"/>
      <c r="H74" s="420"/>
      <c r="I74" s="460"/>
      <c r="J74" s="278"/>
      <c r="K74" s="460"/>
      <c r="L74" s="278"/>
      <c r="M74" s="277"/>
      <c r="N74" s="278"/>
      <c r="O74" s="277"/>
      <c r="P74" s="278"/>
      <c r="Q74" s="277"/>
      <c r="R74" s="465">
        <f>SUM(P74,N74,L74,J74,H74)</f>
        <v>0</v>
      </c>
      <c r="S74" s="462"/>
      <c r="T74" s="20"/>
    </row>
    <row r="75" spans="1:20" ht="10.5" hidden="1" customHeight="1" thickBot="1" x14ac:dyDescent="0.25">
      <c r="A75" s="5"/>
      <c r="B75" s="739"/>
      <c r="C75" s="740"/>
      <c r="D75" s="740"/>
      <c r="E75" s="740"/>
      <c r="F75" s="740"/>
      <c r="G75" s="741"/>
      <c r="H75" s="663">
        <f>IF(SUM(H74,I74)&gt;25000,25000,SUM(H74,I74))</f>
        <v>0</v>
      </c>
      <c r="I75" s="756">
        <f>IF(I74&gt;25000,25000,I74)</f>
        <v>0</v>
      </c>
      <c r="J75" s="660">
        <f>IF(SUM(H74:K74)&gt;=25000,IF(SUM(H74,I74)&gt;=25000, 0, 25000-SUM(H74,I74)),SUM(J74,K74))</f>
        <v>0</v>
      </c>
      <c r="K75" s="661">
        <f>IF(SUM(J74:K74)&gt;=25000,IF(SUM(J74)&gt;=25000, 0, 25000-SUM(J74)),K74)</f>
        <v>0</v>
      </c>
      <c r="L75" s="660">
        <f>IF(SUM(H74:M74)&gt;=25000,IF(SUM(H74:K74)&gt;=25000, 0, 25000-SUM(H74:K74)),SUM(L74,M74))</f>
        <v>0</v>
      </c>
      <c r="M75" s="662">
        <f>IF(SUM(K74:M74)&gt;=25000,IF(SUM(K74:L74)&gt;=25000, 0, 25000-SUM(K74:L74)),M74)</f>
        <v>0</v>
      </c>
      <c r="N75" s="660">
        <f>IF(SUM(H74:O74)&gt;=25000,IF(SUM(H74:M74)&gt;=25000, 0, 25000-SUM(H74:M74)),SUM(N74,O74))</f>
        <v>0</v>
      </c>
      <c r="O75" s="662">
        <f>IF(SUM(L74:O74)&gt;=25000,IF(SUM(L74:N74)&gt;=25000, 0, 25000-SUM(L74:N74)),O74)</f>
        <v>0</v>
      </c>
      <c r="P75" s="660">
        <f>IF(SUM(H74:Q74)&gt;=25000,IF(SUM(H74:O74)&gt;=25000, 0, 25000-SUM(H74:O74)),SUM(P74,Q74))</f>
        <v>0</v>
      </c>
      <c r="Q75" s="662">
        <f>IF(SUM(M74:Q74)&gt;=25000,IF(SUM(M74:P74)&gt;=25000, 0, 25000-SUM(M74:P74)),Q74)</f>
        <v>0</v>
      </c>
      <c r="R75" s="654">
        <f t="shared" si="5"/>
        <v>0</v>
      </c>
      <c r="S75" s="738"/>
      <c r="T75" s="20"/>
    </row>
    <row r="76" spans="1:20" ht="10.5" hidden="1" customHeight="1" x14ac:dyDescent="0.2">
      <c r="A76" s="5">
        <v>4</v>
      </c>
      <c r="B76" s="742"/>
      <c r="C76" s="743"/>
      <c r="D76" s="743"/>
      <c r="E76" s="743"/>
      <c r="F76" s="743"/>
      <c r="G76" s="744"/>
      <c r="H76" s="420"/>
      <c r="I76" s="421"/>
      <c r="J76" s="278"/>
      <c r="K76" s="277"/>
      <c r="L76" s="278"/>
      <c r="M76" s="277"/>
      <c r="N76" s="278"/>
      <c r="O76" s="277"/>
      <c r="P76" s="278"/>
      <c r="Q76" s="277"/>
      <c r="R76" s="282">
        <f>SUM(P76,N76,L76,J76,H76)</f>
        <v>0</v>
      </c>
      <c r="S76" s="283">
        <f>SUM(Q76,O76,M76,K76,I76)</f>
        <v>0</v>
      </c>
      <c r="T76" s="20"/>
    </row>
    <row r="77" spans="1:20" ht="10.5" hidden="1" customHeight="1" thickBot="1" x14ac:dyDescent="0.25">
      <c r="A77" s="5"/>
      <c r="B77" s="739"/>
      <c r="C77" s="740"/>
      <c r="D77" s="740"/>
      <c r="E77" s="740"/>
      <c r="F77" s="740"/>
      <c r="G77" s="741"/>
      <c r="H77" s="663">
        <f>IF(SUM(H76,I76)&gt;25000,25000,SUM(H76,I76))</f>
        <v>0</v>
      </c>
      <c r="I77" s="664">
        <f>IF(I76&gt;25000,25000,I76)</f>
        <v>0</v>
      </c>
      <c r="J77" s="660">
        <f>IF(SUM(H76:K76)&gt;=25000,IF(SUM(H76,I76)&gt;=25000, 0, 25000-SUM(H76,I76)),SUM(J76,K76))</f>
        <v>0</v>
      </c>
      <c r="K77" s="662">
        <f>IF(SUM(J76:K76)&gt;=25000,IF(SUM(J76)&gt;=25000, 0, 25000-SUM(J76)),K76)</f>
        <v>0</v>
      </c>
      <c r="L77" s="660">
        <f>IF(SUM(H76:M76)&gt;=25000,IF(SUM(H76:K76)&gt;=25000, 0, 25000-SUM(H76:K76)),SUM(L76,M76))</f>
        <v>0</v>
      </c>
      <c r="M77" s="662">
        <f>IF(SUM(K76:M76)&gt;=25000,IF(SUM(K76:L76)&gt;=25000, 0, 25000-SUM(K76:L76)),M76)</f>
        <v>0</v>
      </c>
      <c r="N77" s="660">
        <f>IF(SUM(H76:O76)&gt;=25000,IF(SUM(H76:M76)&gt;=25000, 0, 25000-SUM(H76:M76)),SUM(N76,O76))</f>
        <v>0</v>
      </c>
      <c r="O77" s="662">
        <f>IF(SUM(L76:O76)&gt;=25000,IF(SUM(L76:N76)&gt;=25000, 0, 25000-SUM(L76:N76)),O76)</f>
        <v>0</v>
      </c>
      <c r="P77" s="660">
        <f>IF(SUM(H76:Q76)&gt;=25000,IF(SUM(H76:O76)&gt;=25000, 0, 25000-SUM(H76:O76)),SUM(P76,Q76))</f>
        <v>0</v>
      </c>
      <c r="Q77" s="662">
        <f>IF(SUM(M76:Q76)&gt;=25000,IF(SUM(M76:P76)&gt;=25000, 0, 25000-SUM(M76:P76)),Q76)</f>
        <v>0</v>
      </c>
      <c r="R77" s="654">
        <f t="shared" si="5"/>
        <v>0</v>
      </c>
      <c r="S77" s="655"/>
      <c r="T77" s="20"/>
    </row>
    <row r="78" spans="1:20" ht="10.5" hidden="1" customHeight="1" x14ac:dyDescent="0.2">
      <c r="A78" s="5">
        <v>5</v>
      </c>
      <c r="B78" s="742"/>
      <c r="C78" s="743"/>
      <c r="D78" s="743"/>
      <c r="E78" s="743"/>
      <c r="F78" s="743"/>
      <c r="G78" s="744"/>
      <c r="H78" s="420"/>
      <c r="I78" s="421"/>
      <c r="J78" s="278"/>
      <c r="K78" s="277"/>
      <c r="L78" s="278"/>
      <c r="M78" s="277"/>
      <c r="N78" s="278"/>
      <c r="O78" s="277"/>
      <c r="P78" s="278"/>
      <c r="Q78" s="277"/>
      <c r="R78" s="282">
        <f>SUM(P78,N78,L78,J78,H78)</f>
        <v>0</v>
      </c>
      <c r="S78" s="283">
        <f>SUM(Q78,O78,M78,K78,I78)</f>
        <v>0</v>
      </c>
      <c r="T78" s="20"/>
    </row>
    <row r="79" spans="1:20" ht="10.5" hidden="1" customHeight="1" thickBot="1" x14ac:dyDescent="0.25">
      <c r="A79" s="5"/>
      <c r="B79" s="739"/>
      <c r="C79" s="740"/>
      <c r="D79" s="740"/>
      <c r="E79" s="740"/>
      <c r="F79" s="740"/>
      <c r="G79" s="741"/>
      <c r="H79" s="663">
        <f>IF(SUM(H78,I78)&gt;25000,25000,SUM(H78,I78))</f>
        <v>0</v>
      </c>
      <c r="I79" s="664">
        <f>IF(I78&gt;25000,25000,I78)</f>
        <v>0</v>
      </c>
      <c r="J79" s="660">
        <f>IF(SUM(H78:K78)&gt;=25000,IF(SUM(H78,I78)&gt;=25000, 0, 25000-SUM(H78,I78)),SUM(J78,K78))</f>
        <v>0</v>
      </c>
      <c r="K79" s="662">
        <f>IF(SUM(J78:K78)&gt;=25000,IF(SUM(J78)&gt;=25000, 0, 25000-SUM(J78)),K78)</f>
        <v>0</v>
      </c>
      <c r="L79" s="660">
        <f>IF(SUM(H78:M78)&gt;=25000,IF(SUM(H78:K78)&gt;=25000, 0, 25000-SUM(H78:K78)),SUM(L78,M78))</f>
        <v>0</v>
      </c>
      <c r="M79" s="662">
        <f>IF(SUM(K78:M78)&gt;=25000,IF(SUM(K78:L78)&gt;=25000, 0, 25000-SUM(K78:L78)),M78)</f>
        <v>0</v>
      </c>
      <c r="N79" s="660">
        <f>IF(SUM(H78:O78)&gt;=25000,IF(SUM(H78:M78)&gt;=25000, 0, 25000-SUM(H78:M78)),SUM(N78,O78))</f>
        <v>0</v>
      </c>
      <c r="O79" s="662">
        <f>IF(SUM(L78:O78)&gt;=25000,IF(SUM(L78:N78)&gt;=25000, 0, 25000-SUM(L78:N78)),O78)</f>
        <v>0</v>
      </c>
      <c r="P79" s="660">
        <f>IF(SUM(H78:Q78)&gt;=25000,IF(SUM(H78:O78)&gt;=25000, 0, 25000-SUM(H78:O78)),SUM(P78,Q78))</f>
        <v>0</v>
      </c>
      <c r="Q79" s="662">
        <f>IF(SUM(M78:Q78)&gt;=25000,IF(SUM(M78:P78)&gt;=25000, 0, 25000-SUM(M78:P78)),Q78)</f>
        <v>0</v>
      </c>
      <c r="R79" s="654">
        <f t="shared" si="5"/>
        <v>0</v>
      </c>
      <c r="S79" s="655"/>
      <c r="T79" s="20"/>
    </row>
    <row r="80" spans="1:20" ht="10.5" hidden="1" customHeight="1" x14ac:dyDescent="0.2">
      <c r="A80" s="5">
        <v>6</v>
      </c>
      <c r="B80" s="742"/>
      <c r="C80" s="743"/>
      <c r="D80" s="743"/>
      <c r="E80" s="743"/>
      <c r="F80" s="743"/>
      <c r="G80" s="744"/>
      <c r="H80" s="420"/>
      <c r="I80" s="421"/>
      <c r="J80" s="278"/>
      <c r="K80" s="277"/>
      <c r="L80" s="278"/>
      <c r="M80" s="277"/>
      <c r="N80" s="278"/>
      <c r="O80" s="277"/>
      <c r="P80" s="278"/>
      <c r="Q80" s="277"/>
      <c r="R80" s="282">
        <f>SUM(P80,N80,L80,J80,H80)</f>
        <v>0</v>
      </c>
      <c r="S80" s="283">
        <f>SUM(Q80,O80,M80,K80,I80)</f>
        <v>0</v>
      </c>
      <c r="T80" s="20"/>
    </row>
    <row r="81" spans="1:20" ht="10.5" hidden="1" customHeight="1" thickBot="1" x14ac:dyDescent="0.25">
      <c r="A81" s="5"/>
      <c r="B81" s="739"/>
      <c r="C81" s="740"/>
      <c r="D81" s="740"/>
      <c r="E81" s="740"/>
      <c r="F81" s="740"/>
      <c r="G81" s="741"/>
      <c r="H81" s="663">
        <f>IF(SUM(H80,I80)&gt;25000,25000,SUM(H80,I80))</f>
        <v>0</v>
      </c>
      <c r="I81" s="664">
        <f>IF(I80&gt;25000,25000,I80)</f>
        <v>0</v>
      </c>
      <c r="J81" s="660">
        <f>IF(SUM(H80:K80)&gt;=25000,IF(SUM(H80,I80)&gt;=25000, 0, 25000-SUM(H80,I80)),SUM(J80,K80))</f>
        <v>0</v>
      </c>
      <c r="K81" s="662">
        <f>IF(SUM(J80:K80)&gt;=25000,IF(SUM(J80)&gt;=25000, 0, 25000-SUM(J80)),K80)</f>
        <v>0</v>
      </c>
      <c r="L81" s="660">
        <f>IF(SUM(H80:M80)&gt;=25000,IF(SUM(H80:K80)&gt;=25000, 0, 25000-SUM(H80:K80)),SUM(L80,M80))</f>
        <v>0</v>
      </c>
      <c r="M81" s="662">
        <f>IF(SUM(K80:M80)&gt;=25000,IF(SUM(K80:L80)&gt;=25000, 0, 25000-SUM(K80:L80)),M80)</f>
        <v>0</v>
      </c>
      <c r="N81" s="660">
        <f>IF(SUM(H80:O80)&gt;=25000,IF(SUM(H80:M80)&gt;=25000, 0, 25000-SUM(H80:M80)),SUM(N80,O80))</f>
        <v>0</v>
      </c>
      <c r="O81" s="662">
        <f>IF(SUM(L80:O80)&gt;=25000,IF(SUM(L80:N80)&gt;=25000, 0, 25000-SUM(L80:N80)),O80)</f>
        <v>0</v>
      </c>
      <c r="P81" s="660">
        <f>IF(SUM(H80:Q80)&gt;=25000,IF(SUM(H80:O80)&gt;=25000, 0, 25000-SUM(H80:O80)),SUM(P80,Q80))</f>
        <v>0</v>
      </c>
      <c r="Q81" s="662">
        <f>IF(SUM(M80:Q80)&gt;=25000,IF(SUM(M80:P80)&gt;=25000, 0, 25000-SUM(M80:P80)),Q80)</f>
        <v>0</v>
      </c>
      <c r="R81" s="654">
        <f t="shared" si="5"/>
        <v>0</v>
      </c>
      <c r="S81" s="655"/>
      <c r="T81" s="20"/>
    </row>
    <row r="82" spans="1:20" ht="10.5" hidden="1" customHeight="1" x14ac:dyDescent="0.2">
      <c r="A82" s="5">
        <v>7</v>
      </c>
      <c r="B82" s="742"/>
      <c r="C82" s="743"/>
      <c r="D82" s="743"/>
      <c r="E82" s="743"/>
      <c r="F82" s="743"/>
      <c r="G82" s="744"/>
      <c r="H82" s="422"/>
      <c r="I82" s="423"/>
      <c r="J82" s="280"/>
      <c r="K82" s="279"/>
      <c r="L82" s="280"/>
      <c r="M82" s="279"/>
      <c r="N82" s="280"/>
      <c r="O82" s="279"/>
      <c r="P82" s="280"/>
      <c r="Q82" s="279"/>
      <c r="R82" s="282">
        <f>SUM(P82,N82,L82,J82,H82)</f>
        <v>0</v>
      </c>
      <c r="S82" s="283">
        <f>SUM(Q82,O82,M82,K82,I82)</f>
        <v>0</v>
      </c>
      <c r="T82" s="20"/>
    </row>
    <row r="83" spans="1:20" ht="10.5" hidden="1" customHeight="1" thickBot="1" x14ac:dyDescent="0.25">
      <c r="A83" s="5"/>
      <c r="B83" s="739"/>
      <c r="C83" s="740"/>
      <c r="D83" s="740"/>
      <c r="E83" s="740"/>
      <c r="F83" s="740"/>
      <c r="G83" s="741"/>
      <c r="H83" s="663">
        <f>IF(SUM(H82,I82)&gt;25000,25000,SUM(H82,I82))</f>
        <v>0</v>
      </c>
      <c r="I83" s="664">
        <f>IF(I82&gt;25000,25000,I82)</f>
        <v>0</v>
      </c>
      <c r="J83" s="660">
        <f>IF(SUM(H82:K82)&gt;=25000,IF(SUM(H82,I82)&gt;=25000, 0, 25000-SUM(H82,I82)),SUM(J82,K82))</f>
        <v>0</v>
      </c>
      <c r="K83" s="662">
        <f>IF(SUM(J82:K82)&gt;=25000,IF(SUM(J82)&gt;=25000, 0, 25000-SUM(J82)),K82)</f>
        <v>0</v>
      </c>
      <c r="L83" s="660">
        <f>IF(SUM(H82:M82)&gt;=25000,IF(SUM(H82:K82)&gt;=25000, 0, 25000-SUM(H82:K82)),SUM(L82,M82))</f>
        <v>0</v>
      </c>
      <c r="M83" s="662">
        <f>IF(SUM(K82:M82)&gt;=25000,IF(SUM(K82:L82)&gt;=25000, 0, 25000-SUM(K82:L82)),M82)</f>
        <v>0</v>
      </c>
      <c r="N83" s="660">
        <f>IF(SUM(H82:O82)&gt;=25000,IF(SUM(H82:M82)&gt;=25000, 0, 25000-SUM(H82:M82)),SUM(N82,O82))</f>
        <v>0</v>
      </c>
      <c r="O83" s="662">
        <f>IF(SUM(L82:O82)&gt;=25000,IF(SUM(L82:N82)&gt;=25000, 0, 25000-SUM(L82:N82)),O82)</f>
        <v>0</v>
      </c>
      <c r="P83" s="660">
        <f>IF(SUM(H82:Q82)&gt;=25000,IF(SUM(H82:O82)&gt;=25000, 0, 25000-SUM(H82:O82)),SUM(P82,Q82))</f>
        <v>0</v>
      </c>
      <c r="Q83" s="662">
        <f>IF(SUM(M82:Q82)&gt;=25000,IF(SUM(M82:P82)&gt;=25000, 0, 25000-SUM(M82:P82)),Q82)</f>
        <v>0</v>
      </c>
      <c r="R83" s="654">
        <f t="shared" si="5"/>
        <v>0</v>
      </c>
      <c r="S83" s="655"/>
      <c r="T83" s="20"/>
    </row>
    <row r="84" spans="1:20" ht="10.5" hidden="1" customHeight="1" x14ac:dyDescent="0.2">
      <c r="A84" s="5">
        <v>8</v>
      </c>
      <c r="B84" s="742"/>
      <c r="C84" s="743"/>
      <c r="D84" s="743"/>
      <c r="E84" s="743"/>
      <c r="F84" s="743"/>
      <c r="G84" s="744"/>
      <c r="H84" s="420"/>
      <c r="I84" s="421"/>
      <c r="J84" s="278"/>
      <c r="K84" s="277"/>
      <c r="L84" s="278"/>
      <c r="M84" s="277"/>
      <c r="N84" s="278"/>
      <c r="O84" s="277"/>
      <c r="P84" s="278"/>
      <c r="Q84" s="277"/>
      <c r="R84" s="282">
        <f>SUM(P84,N84,L84,J84,H84)</f>
        <v>0</v>
      </c>
      <c r="S84" s="283">
        <f>SUM(Q84,O84,M84,K84,I84)</f>
        <v>0</v>
      </c>
      <c r="T84" s="20"/>
    </row>
    <row r="85" spans="1:20" ht="10.5" hidden="1" customHeight="1" thickBot="1" x14ac:dyDescent="0.25">
      <c r="A85" s="5"/>
      <c r="B85" s="739"/>
      <c r="C85" s="740"/>
      <c r="D85" s="740"/>
      <c r="E85" s="740"/>
      <c r="F85" s="740"/>
      <c r="G85" s="741"/>
      <c r="H85" s="663">
        <f>IF(SUM(H84,I84)&gt;25000,25000,SUM(H84,I84))</f>
        <v>0</v>
      </c>
      <c r="I85" s="664">
        <f>IF(I84&gt;25000,25000,I84)</f>
        <v>0</v>
      </c>
      <c r="J85" s="660">
        <f>IF(SUM(H84:K84)&gt;=25000,IF(SUM(H84,I84)&gt;=25000, 0, 25000-SUM(H84,I84)),SUM(J84,K84))</f>
        <v>0</v>
      </c>
      <c r="K85" s="662">
        <f>IF(SUM(J84:K84)&gt;=25000,IF(SUM(J84)&gt;=25000, 0, 25000-SUM(J84)),K84)</f>
        <v>0</v>
      </c>
      <c r="L85" s="660">
        <f>IF(SUM(H84:M84)&gt;=25000,IF(SUM(H84:K84)&gt;=25000, 0, 25000-SUM(H84:K84)),SUM(L84,M84))</f>
        <v>0</v>
      </c>
      <c r="M85" s="662">
        <f>IF(SUM(K84:M84)&gt;=25000,IF(SUM(K84:L84)&gt;=25000, 0, 25000-SUM(K84:L84)),M84)</f>
        <v>0</v>
      </c>
      <c r="N85" s="660">
        <f>IF(SUM(H84:O84)&gt;=25000,IF(SUM(H84:M84)&gt;=25000, 0, 25000-SUM(H84:M84)),SUM(N84,O84))</f>
        <v>0</v>
      </c>
      <c r="O85" s="662">
        <f>IF(SUM(L84:O84)&gt;=25000,IF(SUM(L84:N84)&gt;=25000, 0, 25000-SUM(L84:N84)),O84)</f>
        <v>0</v>
      </c>
      <c r="P85" s="660">
        <f>IF(SUM(H84:Q84)&gt;=25000,IF(SUM(H84:O84)&gt;=25000, 0, 25000-SUM(H84:O84)),SUM(P84,Q84))</f>
        <v>0</v>
      </c>
      <c r="Q85" s="662">
        <f>IF(SUM(M84:Q84)&gt;=25000,IF(SUM(M84:P84)&gt;=25000, 0, 25000-SUM(M84:P84)),Q84)</f>
        <v>0</v>
      </c>
      <c r="R85" s="654">
        <f t="shared" si="5"/>
        <v>0</v>
      </c>
      <c r="S85" s="655"/>
      <c r="T85" s="20"/>
    </row>
    <row r="86" spans="1:20" ht="10.5" hidden="1" customHeight="1" x14ac:dyDescent="0.2">
      <c r="A86" s="5">
        <v>9</v>
      </c>
      <c r="B86" s="742"/>
      <c r="C86" s="743"/>
      <c r="D86" s="743"/>
      <c r="E86" s="743"/>
      <c r="F86" s="743"/>
      <c r="G86" s="744"/>
      <c r="H86" s="420"/>
      <c r="I86" s="421"/>
      <c r="J86" s="278"/>
      <c r="K86" s="277"/>
      <c r="L86" s="278"/>
      <c r="M86" s="277"/>
      <c r="N86" s="278"/>
      <c r="O86" s="277"/>
      <c r="P86" s="278"/>
      <c r="Q86" s="277"/>
      <c r="R86" s="282">
        <f>SUM(P86,N86,L86,J86,H86)</f>
        <v>0</v>
      </c>
      <c r="S86" s="283">
        <f>SUM(Q86,O86,M86,K86,I86)</f>
        <v>0</v>
      </c>
      <c r="T86" s="20"/>
    </row>
    <row r="87" spans="1:20" ht="10.5" hidden="1" customHeight="1" thickBot="1" x14ac:dyDescent="0.25">
      <c r="A87" s="5"/>
      <c r="B87" s="739"/>
      <c r="C87" s="740"/>
      <c r="D87" s="740"/>
      <c r="E87" s="740"/>
      <c r="F87" s="740"/>
      <c r="G87" s="741"/>
      <c r="H87" s="663">
        <f>IF(SUM(H86,I86)&gt;25000,25000,SUM(H86,I86))</f>
        <v>0</v>
      </c>
      <c r="I87" s="664">
        <f>IF(I86&gt;25000,25000,I86)</f>
        <v>0</v>
      </c>
      <c r="J87" s="660">
        <f>IF(SUM(H86:K86)&gt;=25000,IF(SUM(H86,I86)&gt;=25000, 0, 25000-SUM(H86,I86)),SUM(J86,K86))</f>
        <v>0</v>
      </c>
      <c r="K87" s="662">
        <f>IF(SUM(J86:K86)&gt;=25000,IF(SUM(J86)&gt;=25000, 0, 25000-SUM(J86)),K86)</f>
        <v>0</v>
      </c>
      <c r="L87" s="660">
        <f>IF(SUM(H86:M86)&gt;=25000,IF(SUM(H86:K86)&gt;=25000, 0, 25000-SUM(H86:K86)),SUM(L86,M86))</f>
        <v>0</v>
      </c>
      <c r="M87" s="662">
        <f>IF(SUM(K86:M86)&gt;=25000,IF(SUM(K86:L86)&gt;=25000, 0, 25000-SUM(K86:L86)),M86)</f>
        <v>0</v>
      </c>
      <c r="N87" s="660">
        <f>IF(SUM(H86:O86)&gt;=25000,IF(SUM(H86:M86)&gt;=25000, 0, 25000-SUM(H86:M86)),SUM(N86,O86))</f>
        <v>0</v>
      </c>
      <c r="O87" s="662">
        <f>IF(SUM(L86:O86)&gt;=25000,IF(SUM(L86:N86)&gt;=25000, 0, 25000-SUM(L86:N86)),O86)</f>
        <v>0</v>
      </c>
      <c r="P87" s="660">
        <f>IF(SUM(H86:Q86)&gt;=25000,IF(SUM(H86:O86)&gt;=25000, 0, 25000-SUM(H86:O86)),SUM(P86,Q86))</f>
        <v>0</v>
      </c>
      <c r="Q87" s="662">
        <f>IF(SUM(M86:Q86)&gt;=25000,IF(SUM(M86:P86)&gt;=25000, 0, 25000-SUM(M86:P86)),Q86)</f>
        <v>0</v>
      </c>
      <c r="R87" s="654">
        <f t="shared" si="5"/>
        <v>0</v>
      </c>
      <c r="S87" s="655"/>
      <c r="T87" s="20"/>
    </row>
    <row r="88" spans="1:20" ht="10.5" hidden="1" customHeight="1" thickBot="1" x14ac:dyDescent="0.25">
      <c r="A88" s="5">
        <v>10</v>
      </c>
      <c r="B88" s="742"/>
      <c r="C88" s="743"/>
      <c r="D88" s="743"/>
      <c r="E88" s="743"/>
      <c r="F88" s="743"/>
      <c r="G88" s="744"/>
      <c r="H88" s="420"/>
      <c r="I88" s="421"/>
      <c r="J88" s="278"/>
      <c r="K88" s="277"/>
      <c r="L88" s="278"/>
      <c r="M88" s="277"/>
      <c r="N88" s="278"/>
      <c r="O88" s="277"/>
      <c r="P88" s="278"/>
      <c r="Q88" s="277"/>
      <c r="R88" s="282">
        <f>SUM(P88,N88,L88,J88,H88)</f>
        <v>0</v>
      </c>
      <c r="S88" s="283">
        <f>SUM(Q88,O88,M88,K88,I88)</f>
        <v>0</v>
      </c>
      <c r="T88" s="164"/>
    </row>
    <row r="89" spans="1:20" ht="10.5" hidden="1" customHeight="1" thickBot="1" x14ac:dyDescent="0.25">
      <c r="B89" s="746"/>
      <c r="C89" s="747"/>
      <c r="D89" s="747"/>
      <c r="E89" s="747"/>
      <c r="F89" s="747"/>
      <c r="G89" s="748"/>
      <c r="H89" s="656">
        <f>IF(SUM(H88,I88)&gt;25000,25000,SUM(H88,I88))</f>
        <v>0</v>
      </c>
      <c r="I89" s="745">
        <f>IF(I88&gt;25000,25000,I88)</f>
        <v>0</v>
      </c>
      <c r="J89" s="656">
        <f>IF(SUM(H88:K88)&gt;=25000,IF(SUM(H88,I88)&gt;=25000, 0, 25000-SUM(H88,I88)),SUM(J88,K88))</f>
        <v>0</v>
      </c>
      <c r="K89" s="745">
        <f>IF(SUM(J88:K88)&gt;=25000,IF(SUM(J88)&gt;=25000, 0, 25000-SUM(J88)),K88)</f>
        <v>0</v>
      </c>
      <c r="L89" s="656">
        <f>IF(SUM(H88:M88)&gt;=25000,IF(SUM(H88:K88)&gt;=25000, 0, 25000-SUM(H88:K88)),SUM(L88,M88))</f>
        <v>0</v>
      </c>
      <c r="M89" s="657">
        <f>IF(SUM(K88:M88)&gt;=25000,IF(SUM(K88:L88)&gt;=25000, 0, 25000-SUM(K88:L88)),M88)</f>
        <v>0</v>
      </c>
      <c r="N89" s="656">
        <f>IF(SUM(H88:O88)&gt;=25000,IF(SUM(H88:M88)&gt;=25000, 0, 25000-SUM(H88:M88)),SUM(N88,O88))</f>
        <v>0</v>
      </c>
      <c r="O89" s="657">
        <f>IF(SUM(L88:O88)&gt;=25000,IF(SUM(L88:N88)&gt;=25000, 0, 25000-SUM(L88:N88)),O88)</f>
        <v>0</v>
      </c>
      <c r="P89" s="656">
        <f>IF(SUM(H88:Q88)&gt;=25000,IF(SUM(H88:O88)&gt;=25000, 0, 25000-SUM(H88:O88)),SUM(P88,Q88))</f>
        <v>0</v>
      </c>
      <c r="Q89" s="657">
        <f>IF(SUM(M88:Q88)&gt;=25000,IF(SUM(M88:P88)&gt;=25000, 0, 25000-SUM(M88:P88)),Q88)</f>
        <v>0</v>
      </c>
      <c r="R89" s="658">
        <f t="shared" si="5"/>
        <v>0</v>
      </c>
      <c r="S89" s="659"/>
    </row>
    <row r="90" spans="1:20" ht="12.75" hidden="1" customHeight="1" thickBot="1" x14ac:dyDescent="0.25">
      <c r="B90" s="34"/>
      <c r="C90" s="34"/>
      <c r="D90" s="34"/>
      <c r="E90" s="34"/>
      <c r="F90" s="34"/>
      <c r="G90" s="126"/>
      <c r="H90" s="281">
        <f t="shared" ref="H90:Q90" si="6">SUM(H70,H72,H74,H76,H78,H80,H82,H84,H86,H88)</f>
        <v>0</v>
      </c>
      <c r="I90" s="461"/>
      <c r="J90" s="464">
        <f t="shared" si="6"/>
        <v>0</v>
      </c>
      <c r="K90" s="462"/>
      <c r="L90" s="281">
        <f t="shared" si="6"/>
        <v>0</v>
      </c>
      <c r="M90" s="284">
        <f t="shared" si="6"/>
        <v>0</v>
      </c>
      <c r="N90" s="281">
        <f t="shared" si="6"/>
        <v>0</v>
      </c>
      <c r="O90" s="284">
        <f t="shared" si="6"/>
        <v>0</v>
      </c>
      <c r="P90" s="281">
        <f t="shared" si="6"/>
        <v>0</v>
      </c>
      <c r="Q90" s="284">
        <f t="shared" si="6"/>
        <v>0</v>
      </c>
      <c r="R90" s="464">
        <f>SUM(P90,N90,L90,J90,H90)</f>
        <v>0</v>
      </c>
      <c r="S90" s="462"/>
    </row>
    <row r="91" spans="1:20" ht="15" hidden="1" customHeight="1" thickBot="1" x14ac:dyDescent="0.25">
      <c r="H91" s="731">
        <f>SUM(H71,H73,H75,H77,H79,H81,H83,H85,H87,H89)</f>
        <v>0</v>
      </c>
      <c r="I91" s="733"/>
      <c r="J91" s="731">
        <f>SUM(J71,J73,J75,J77,J79,J81,J83,J85,J87,J89)</f>
        <v>0</v>
      </c>
      <c r="K91" s="732"/>
      <c r="L91" s="731">
        <f>SUM(L71,L73,L75,L77,L79,L81,L83,L85,L87,L89)</f>
        <v>0</v>
      </c>
      <c r="M91" s="733"/>
      <c r="N91" s="731">
        <f>SUM(N71,N73,N75,N77,N79,N81,N83,N85,N87,N89)</f>
        <v>0</v>
      </c>
      <c r="O91" s="733"/>
      <c r="P91" s="731">
        <f>SUM(P71,P73,P75,P77,P79,P81,P83,P85,P87,P89)</f>
        <v>0</v>
      </c>
      <c r="Q91" s="733"/>
      <c r="R91" s="731">
        <f>SUM(R71,R73,R75,R77,R79,R81,R83,R85,R87,R89)</f>
        <v>0</v>
      </c>
      <c r="S91" s="732"/>
    </row>
    <row r="92" spans="1:20" ht="12.75" hidden="1" customHeight="1" x14ac:dyDescent="0.2">
      <c r="S92" s="34"/>
    </row>
    <row r="93" spans="1:20" x14ac:dyDescent="0.2">
      <c r="H93" s="336">
        <f>IF(OR(ISBLANK('Personnel Yr 1'!$B$23),NOT(ISNUMBER('Personnel Yr 1'!$B$23))),1,'Personnel Yr 1'!$B$23)</f>
        <v>1</v>
      </c>
      <c r="I93" s="336"/>
      <c r="J93" s="336">
        <f>IF(OR(ISBLANK('Personnel Yr 2'!$B$23),NOT(ISNUMBER('Personnel Yr 2'!$B$23))),1,'Personnel Yr 2'!$B$23)</f>
        <v>1</v>
      </c>
      <c r="K93" s="336"/>
      <c r="L93" s="336">
        <f>IF(OR(ISBLANK('Personnel Yr 3'!$B$23),NOT(ISNUMBER('Personnel Yr 3'!$B$23))),1,'Personnel Yr 3'!$B$23)</f>
        <v>1</v>
      </c>
      <c r="M93" s="336"/>
      <c r="N93" s="336">
        <f>IF(OR(ISBLANK('Personnel Yr 4'!$B$23),NOT(ISNUMBER('Personnel Yr 4'!$B$23))),1,'Personnel Yr 4'!$B$23)</f>
        <v>1</v>
      </c>
      <c r="O93" s="336"/>
      <c r="P93" s="336">
        <f>IF(OR(ISBLANK('Personnel Yr 5'!$B$23),NOT(ISNUMBER('Personnel Yr 5'!$B$23))),1,'Personnel Yr 5'!$B$23)</f>
        <v>1</v>
      </c>
    </row>
  </sheetData>
  <sheetProtection algorithmName="SHA-512" hashValue="8pLG5GXpFsA5uCQV6MIBpW4kG9+klaHWPuSAj9eTtE+C4S72EGAuojy9/CKoEfNqybeZ0xXGFAVD39Y3uYtFQg==" saltValue="5w8XVSC/PSPE+CGFIN91Fw==" spinCount="100000" sheet="1" objects="1" scenarios="1"/>
  <mergeCells count="437">
    <mergeCell ref="B72:G72"/>
    <mergeCell ref="B71:G71"/>
    <mergeCell ref="B70:G70"/>
    <mergeCell ref="B78:G78"/>
    <mergeCell ref="H77:I77"/>
    <mergeCell ref="B77:G77"/>
    <mergeCell ref="B76:G76"/>
    <mergeCell ref="H75:I75"/>
    <mergeCell ref="B75:G75"/>
    <mergeCell ref="B74:G74"/>
    <mergeCell ref="H73:I73"/>
    <mergeCell ref="B73:G73"/>
    <mergeCell ref="B68:G68"/>
    <mergeCell ref="H91:I91"/>
    <mergeCell ref="B87:G87"/>
    <mergeCell ref="B85:G85"/>
    <mergeCell ref="B88:G88"/>
    <mergeCell ref="J89:K89"/>
    <mergeCell ref="B89:G89"/>
    <mergeCell ref="B86:G86"/>
    <mergeCell ref="H89:I89"/>
    <mergeCell ref="H87:I87"/>
    <mergeCell ref="H85:I85"/>
    <mergeCell ref="J87:K87"/>
    <mergeCell ref="J73:K73"/>
    <mergeCell ref="B84:G84"/>
    <mergeCell ref="J83:K83"/>
    <mergeCell ref="H83:I83"/>
    <mergeCell ref="B83:G83"/>
    <mergeCell ref="B82:G82"/>
    <mergeCell ref="J81:K81"/>
    <mergeCell ref="B81:G81"/>
    <mergeCell ref="B80:G80"/>
    <mergeCell ref="J79:K79"/>
    <mergeCell ref="H79:I79"/>
    <mergeCell ref="B79:G79"/>
    <mergeCell ref="R91:S91"/>
    <mergeCell ref="P91:Q91"/>
    <mergeCell ref="N91:O91"/>
    <mergeCell ref="L91:M91"/>
    <mergeCell ref="J91:K91"/>
    <mergeCell ref="L73:M73"/>
    <mergeCell ref="R73:S73"/>
    <mergeCell ref="R71:S71"/>
    <mergeCell ref="N71:O71"/>
    <mergeCell ref="P71:Q71"/>
    <mergeCell ref="P73:Q73"/>
    <mergeCell ref="N73:O73"/>
    <mergeCell ref="R81:S81"/>
    <mergeCell ref="R79:S79"/>
    <mergeCell ref="R77:S77"/>
    <mergeCell ref="R75:S75"/>
    <mergeCell ref="P81:Q81"/>
    <mergeCell ref="L87:M87"/>
    <mergeCell ref="P83:Q83"/>
    <mergeCell ref="L79:M79"/>
    <mergeCell ref="P85:Q85"/>
    <mergeCell ref="P87:Q87"/>
    <mergeCell ref="L77:M77"/>
    <mergeCell ref="P77:Q77"/>
    <mergeCell ref="N46:O46"/>
    <mergeCell ref="N47:O47"/>
    <mergeCell ref="N65:O65"/>
    <mergeCell ref="N66:O66"/>
    <mergeCell ref="N57:O57"/>
    <mergeCell ref="N58:O58"/>
    <mergeCell ref="N59:O59"/>
    <mergeCell ref="N61:O61"/>
    <mergeCell ref="N60:O60"/>
    <mergeCell ref="N48:O48"/>
    <mergeCell ref="N51:O51"/>
    <mergeCell ref="N52:O52"/>
    <mergeCell ref="N56:O56"/>
    <mergeCell ref="L61:M61"/>
    <mergeCell ref="L60:M60"/>
    <mergeCell ref="L56:M56"/>
    <mergeCell ref="L57:M57"/>
    <mergeCell ref="L58:M58"/>
    <mergeCell ref="L36:M36"/>
    <mergeCell ref="L46:M46"/>
    <mergeCell ref="L47:M47"/>
    <mergeCell ref="L37:M37"/>
    <mergeCell ref="L38:M38"/>
    <mergeCell ref="L39:M39"/>
    <mergeCell ref="L40:M40"/>
    <mergeCell ref="L41:M41"/>
    <mergeCell ref="L52:M52"/>
    <mergeCell ref="L44:M44"/>
    <mergeCell ref="B4:D4"/>
    <mergeCell ref="B6:G6"/>
    <mergeCell ref="B10:G10"/>
    <mergeCell ref="B9:G9"/>
    <mergeCell ref="B8:G8"/>
    <mergeCell ref="B7:G7"/>
    <mergeCell ref="B5:J5"/>
    <mergeCell ref="J6:K6"/>
    <mergeCell ref="J7:K7"/>
    <mergeCell ref="H6:I6"/>
    <mergeCell ref="F15:G15"/>
    <mergeCell ref="B14:G14"/>
    <mergeCell ref="B13:G13"/>
    <mergeCell ref="B12:G12"/>
    <mergeCell ref="B11:G11"/>
    <mergeCell ref="H14:I14"/>
    <mergeCell ref="B20:G20"/>
    <mergeCell ref="B19:G19"/>
    <mergeCell ref="H28:I28"/>
    <mergeCell ref="H27:I27"/>
    <mergeCell ref="H25:I25"/>
    <mergeCell ref="H26:I26"/>
    <mergeCell ref="B28:G28"/>
    <mergeCell ref="H24:I24"/>
    <mergeCell ref="B17:D17"/>
    <mergeCell ref="B23:E23"/>
    <mergeCell ref="H20:I20"/>
    <mergeCell ref="B27:G27"/>
    <mergeCell ref="B26:G26"/>
    <mergeCell ref="B25:G25"/>
    <mergeCell ref="H21:I21"/>
    <mergeCell ref="F21:G21"/>
    <mergeCell ref="L6:M6"/>
    <mergeCell ref="L7:M7"/>
    <mergeCell ref="L8:M8"/>
    <mergeCell ref="L9:M9"/>
    <mergeCell ref="J15:K15"/>
    <mergeCell ref="H18:I18"/>
    <mergeCell ref="H19:I19"/>
    <mergeCell ref="J8:K8"/>
    <mergeCell ref="J9:K9"/>
    <mergeCell ref="J10:K10"/>
    <mergeCell ref="J11:K11"/>
    <mergeCell ref="J12:K12"/>
    <mergeCell ref="J13:K13"/>
    <mergeCell ref="J14:K14"/>
    <mergeCell ref="H13:I13"/>
    <mergeCell ref="H15:I15"/>
    <mergeCell ref="H10:I10"/>
    <mergeCell ref="H9:I9"/>
    <mergeCell ref="H8:I8"/>
    <mergeCell ref="H7:I7"/>
    <mergeCell ref="H12:I12"/>
    <mergeCell ref="H11:I11"/>
    <mergeCell ref="L25:M25"/>
    <mergeCell ref="J21:K21"/>
    <mergeCell ref="L10:M10"/>
    <mergeCell ref="L11:M11"/>
    <mergeCell ref="L12:M12"/>
    <mergeCell ref="L13:M13"/>
    <mergeCell ref="L20:M20"/>
    <mergeCell ref="J18:K18"/>
    <mergeCell ref="J19:K19"/>
    <mergeCell ref="L21:M21"/>
    <mergeCell ref="J24:K24"/>
    <mergeCell ref="L24:M24"/>
    <mergeCell ref="L14:M14"/>
    <mergeCell ref="L15:M15"/>
    <mergeCell ref="L18:M18"/>
    <mergeCell ref="L19:M19"/>
    <mergeCell ref="J20:K20"/>
    <mergeCell ref="J25:K25"/>
    <mergeCell ref="N6:O6"/>
    <mergeCell ref="N7:O7"/>
    <mergeCell ref="N8:O8"/>
    <mergeCell ref="N9:O9"/>
    <mergeCell ref="N10:O10"/>
    <mergeCell ref="N11:O11"/>
    <mergeCell ref="N12:O12"/>
    <mergeCell ref="N19:O19"/>
    <mergeCell ref="N13:O13"/>
    <mergeCell ref="N18:O18"/>
    <mergeCell ref="R24:S24"/>
    <mergeCell ref="R25:S25"/>
    <mergeCell ref="R26:S26"/>
    <mergeCell ref="R27:S27"/>
    <mergeCell ref="P24:Q24"/>
    <mergeCell ref="N25:O25"/>
    <mergeCell ref="P25:Q25"/>
    <mergeCell ref="R13:S13"/>
    <mergeCell ref="P26:Q26"/>
    <mergeCell ref="N26:O26"/>
    <mergeCell ref="P20:Q20"/>
    <mergeCell ref="P21:Q21"/>
    <mergeCell ref="N21:O21"/>
    <mergeCell ref="N20:O20"/>
    <mergeCell ref="N14:O14"/>
    <mergeCell ref="N15:O15"/>
    <mergeCell ref="N24:O24"/>
    <mergeCell ref="P13:Q13"/>
    <mergeCell ref="N27:O27"/>
    <mergeCell ref="P27:Q27"/>
    <mergeCell ref="R6:S6"/>
    <mergeCell ref="R7:S7"/>
    <mergeCell ref="R8:S8"/>
    <mergeCell ref="R9:S9"/>
    <mergeCell ref="R21:S21"/>
    <mergeCell ref="R20:S20"/>
    <mergeCell ref="R10:S10"/>
    <mergeCell ref="R11:S11"/>
    <mergeCell ref="P14:Q14"/>
    <mergeCell ref="R15:S15"/>
    <mergeCell ref="R18:S18"/>
    <mergeCell ref="R19:S19"/>
    <mergeCell ref="P15:Q15"/>
    <mergeCell ref="P18:Q18"/>
    <mergeCell ref="R14:S14"/>
    <mergeCell ref="P6:Q6"/>
    <mergeCell ref="R12:S12"/>
    <mergeCell ref="P19:Q19"/>
    <mergeCell ref="P7:Q7"/>
    <mergeCell ref="P8:Q8"/>
    <mergeCell ref="P9:Q9"/>
    <mergeCell ref="P10:Q10"/>
    <mergeCell ref="P11:Q11"/>
    <mergeCell ref="P12:Q12"/>
    <mergeCell ref="L35:M35"/>
    <mergeCell ref="R28:S28"/>
    <mergeCell ref="B32:E32"/>
    <mergeCell ref="P28:Q28"/>
    <mergeCell ref="N28:O28"/>
    <mergeCell ref="L28:M28"/>
    <mergeCell ref="J28:K28"/>
    <mergeCell ref="P29:Q29"/>
    <mergeCell ref="N29:O29"/>
    <mergeCell ref="L29:M29"/>
    <mergeCell ref="R29:S29"/>
    <mergeCell ref="C29:E29"/>
    <mergeCell ref="F29:G29"/>
    <mergeCell ref="J29:K29"/>
    <mergeCell ref="H29:I29"/>
    <mergeCell ref="J33:K33"/>
    <mergeCell ref="J34:K34"/>
    <mergeCell ref="H34:I34"/>
    <mergeCell ref="J40:K40"/>
    <mergeCell ref="J46:K46"/>
    <mergeCell ref="P33:Q33"/>
    <mergeCell ref="P34:Q34"/>
    <mergeCell ref="J39:K39"/>
    <mergeCell ref="N40:O40"/>
    <mergeCell ref="H48:I48"/>
    <mergeCell ref="E48:G48"/>
    <mergeCell ref="L27:M27"/>
    <mergeCell ref="J41:K41"/>
    <mergeCell ref="H41:I41"/>
    <mergeCell ref="J38:K38"/>
    <mergeCell ref="H37:I37"/>
    <mergeCell ref="H38:I38"/>
    <mergeCell ref="H47:I47"/>
    <mergeCell ref="B44:G44"/>
    <mergeCell ref="H44:I44"/>
    <mergeCell ref="J44:K44"/>
    <mergeCell ref="L33:M33"/>
    <mergeCell ref="L34:M34"/>
    <mergeCell ref="J35:K35"/>
    <mergeCell ref="J36:K36"/>
    <mergeCell ref="H35:I35"/>
    <mergeCell ref="H33:I33"/>
    <mergeCell ref="J26:K26"/>
    <mergeCell ref="J27:K27"/>
    <mergeCell ref="L26:M26"/>
    <mergeCell ref="N33:O33"/>
    <mergeCell ref="N34:O34"/>
    <mergeCell ref="D55:F55"/>
    <mergeCell ref="J47:K47"/>
    <mergeCell ref="B47:G47"/>
    <mergeCell ref="J51:K51"/>
    <mergeCell ref="J52:K52"/>
    <mergeCell ref="H51:I51"/>
    <mergeCell ref="J48:K48"/>
    <mergeCell ref="B54:G54"/>
    <mergeCell ref="B50:E50"/>
    <mergeCell ref="N35:O35"/>
    <mergeCell ref="N36:O36"/>
    <mergeCell ref="N37:O37"/>
    <mergeCell ref="N38:O38"/>
    <mergeCell ref="N39:O39"/>
    <mergeCell ref="L48:M48"/>
    <mergeCell ref="L51:M51"/>
    <mergeCell ref="H46:I46"/>
    <mergeCell ref="H39:I39"/>
    <mergeCell ref="H40:I40"/>
    <mergeCell ref="H36:I36"/>
    <mergeCell ref="J37:K37"/>
    <mergeCell ref="C66:G66"/>
    <mergeCell ref="H66:I66"/>
    <mergeCell ref="J62:K62"/>
    <mergeCell ref="B64:E64"/>
    <mergeCell ref="J65:K65"/>
    <mergeCell ref="H65:I65"/>
    <mergeCell ref="F62:G62"/>
    <mergeCell ref="H62:I62"/>
    <mergeCell ref="J59:K59"/>
    <mergeCell ref="F61:G61"/>
    <mergeCell ref="H61:I61"/>
    <mergeCell ref="F59:G59"/>
    <mergeCell ref="H59:I59"/>
    <mergeCell ref="F60:G60"/>
    <mergeCell ref="H60:I60"/>
    <mergeCell ref="J60:K60"/>
    <mergeCell ref="J66:K66"/>
    <mergeCell ref="C59:E59"/>
    <mergeCell ref="C60:E60"/>
    <mergeCell ref="C61:E61"/>
    <mergeCell ref="C56:E56"/>
    <mergeCell ref="H56:I56"/>
    <mergeCell ref="J56:K56"/>
    <mergeCell ref="F57:G57"/>
    <mergeCell ref="H57:I57"/>
    <mergeCell ref="J57:K57"/>
    <mergeCell ref="F58:G58"/>
    <mergeCell ref="H58:I58"/>
    <mergeCell ref="C57:E57"/>
    <mergeCell ref="C58:E58"/>
    <mergeCell ref="J58:K58"/>
    <mergeCell ref="F56:G56"/>
    <mergeCell ref="R52:S52"/>
    <mergeCell ref="R56:S56"/>
    <mergeCell ref="P57:Q57"/>
    <mergeCell ref="P58:Q58"/>
    <mergeCell ref="P59:Q59"/>
    <mergeCell ref="P61:Q61"/>
    <mergeCell ref="R58:S58"/>
    <mergeCell ref="P36:Q36"/>
    <mergeCell ref="P46:Q46"/>
    <mergeCell ref="P47:Q47"/>
    <mergeCell ref="P37:Q37"/>
    <mergeCell ref="P38:Q38"/>
    <mergeCell ref="P39:Q39"/>
    <mergeCell ref="P40:Q40"/>
    <mergeCell ref="P41:Q41"/>
    <mergeCell ref="R36:S36"/>
    <mergeCell ref="R37:S37"/>
    <mergeCell ref="P48:Q48"/>
    <mergeCell ref="P51:Q51"/>
    <mergeCell ref="P52:Q52"/>
    <mergeCell ref="P56:Q56"/>
    <mergeCell ref="P60:Q60"/>
    <mergeCell ref="R57:S57"/>
    <mergeCell ref="R42:S42"/>
    <mergeCell ref="A1:S1"/>
    <mergeCell ref="A3:S3"/>
    <mergeCell ref="D52:G52"/>
    <mergeCell ref="H52:I52"/>
    <mergeCell ref="R40:S40"/>
    <mergeCell ref="R41:S41"/>
    <mergeCell ref="R46:S46"/>
    <mergeCell ref="R47:S47"/>
    <mergeCell ref="R33:S33"/>
    <mergeCell ref="B38:G38"/>
    <mergeCell ref="B39:G39"/>
    <mergeCell ref="B40:G40"/>
    <mergeCell ref="B46:G46"/>
    <mergeCell ref="B34:G34"/>
    <mergeCell ref="B35:G35"/>
    <mergeCell ref="B36:G36"/>
    <mergeCell ref="B37:G37"/>
    <mergeCell ref="R39:S39"/>
    <mergeCell ref="R35:S35"/>
    <mergeCell ref="R48:S48"/>
    <mergeCell ref="R51:S51"/>
    <mergeCell ref="R38:S38"/>
    <mergeCell ref="P35:Q35"/>
    <mergeCell ref="R34:S34"/>
    <mergeCell ref="R83:S83"/>
    <mergeCell ref="P89:Q89"/>
    <mergeCell ref="N89:O89"/>
    <mergeCell ref="L89:M89"/>
    <mergeCell ref="R85:S85"/>
    <mergeCell ref="R89:S89"/>
    <mergeCell ref="J75:K75"/>
    <mergeCell ref="J77:K77"/>
    <mergeCell ref="H81:I81"/>
    <mergeCell ref="J85:K85"/>
    <mergeCell ref="P79:Q79"/>
    <mergeCell ref="R87:S87"/>
    <mergeCell ref="N87:O87"/>
    <mergeCell ref="N75:O75"/>
    <mergeCell ref="P75:Q75"/>
    <mergeCell ref="N77:O77"/>
    <mergeCell ref="L75:M75"/>
    <mergeCell ref="N79:O79"/>
    <mergeCell ref="N81:O81"/>
    <mergeCell ref="N83:O83"/>
    <mergeCell ref="N85:O85"/>
    <mergeCell ref="L83:M83"/>
    <mergeCell ref="L81:M81"/>
    <mergeCell ref="L85:M85"/>
    <mergeCell ref="N44:O44"/>
    <mergeCell ref="P44:Q44"/>
    <mergeCell ref="R44:S44"/>
    <mergeCell ref="B45:G45"/>
    <mergeCell ref="H45:I45"/>
    <mergeCell ref="J45:K45"/>
    <mergeCell ref="L45:M45"/>
    <mergeCell ref="N45:O45"/>
    <mergeCell ref="P45:Q45"/>
    <mergeCell ref="R45:S45"/>
    <mergeCell ref="R59:S59"/>
    <mergeCell ref="R61:S61"/>
    <mergeCell ref="R60:S60"/>
    <mergeCell ref="J68:K68"/>
    <mergeCell ref="H68:I68"/>
    <mergeCell ref="H71:I71"/>
    <mergeCell ref="L71:M71"/>
    <mergeCell ref="J71:K71"/>
    <mergeCell ref="P66:Q66"/>
    <mergeCell ref="R66:S66"/>
    <mergeCell ref="R65:S65"/>
    <mergeCell ref="R62:S62"/>
    <mergeCell ref="P65:Q65"/>
    <mergeCell ref="N62:O62"/>
    <mergeCell ref="L66:M66"/>
    <mergeCell ref="L62:M62"/>
    <mergeCell ref="L65:M65"/>
    <mergeCell ref="R68:S68"/>
    <mergeCell ref="P68:Q68"/>
    <mergeCell ref="N68:O68"/>
    <mergeCell ref="L68:M68"/>
    <mergeCell ref="P62:Q62"/>
    <mergeCell ref="J61:K61"/>
    <mergeCell ref="L59:M59"/>
    <mergeCell ref="R43:S43"/>
    <mergeCell ref="B41:C41"/>
    <mergeCell ref="B42:G42"/>
    <mergeCell ref="B43:G43"/>
    <mergeCell ref="H42:I42"/>
    <mergeCell ref="J42:K42"/>
    <mergeCell ref="L42:M42"/>
    <mergeCell ref="N42:O42"/>
    <mergeCell ref="P42:Q42"/>
    <mergeCell ref="H43:I43"/>
    <mergeCell ref="J43:K43"/>
    <mergeCell ref="L43:M43"/>
    <mergeCell ref="N43:O43"/>
    <mergeCell ref="P43:Q43"/>
    <mergeCell ref="N41:O41"/>
    <mergeCell ref="D41:E41"/>
    <mergeCell ref="F41:G41"/>
  </mergeCells>
  <phoneticPr fontId="5" type="noConversion"/>
  <conditionalFormatting sqref="F41">
    <cfRule type="cellIs" dxfId="5" priority="6" stopIfTrue="1" operator="equal">
      <formula>""</formula>
    </cfRule>
  </conditionalFormatting>
  <dataValidations count="3">
    <dataValidation type="list" allowBlank="1" showInputMessage="1" showErrorMessage="1" sqref="F41" xr:uid="{00000000-0002-0000-0600-000000000000}">
      <formula1>TuitionDesc</formula1>
    </dataValidation>
    <dataValidation type="list" allowBlank="1" showInputMessage="1" showErrorMessage="1" sqref="B57" xr:uid="{00000000-0002-0000-0600-000001000000}">
      <formula1>IDCType</formula1>
    </dataValidation>
    <dataValidation type="list" errorStyle="warning" allowBlank="1" showInputMessage="1" showErrorMessage="1" errorTitle="Approved Rates" error="This is not one of the Approved Rates." sqref="C57:E61" xr:uid="{00000000-0002-0000-0600-000002000000}">
      <formula1>IDCList2</formula1>
    </dataValidation>
  </dataValidations>
  <pageMargins left="0.25" right="0.25" top="0.5" bottom="0.25" header="0.3" footer="0.3"/>
  <pageSetup scale="91" orientation="portrait" r:id="rId1"/>
  <headerFooter alignWithMargins="0">
    <oddFooter>&amp;RPrinted On: &amp;D &amp;T</oddFooter>
  </headerFooter>
  <rowBreaks count="1" manualBreakCount="1">
    <brk id="90" max="18" man="1"/>
  </rowBreaks>
  <extLst>
    <ext xmlns:x14="http://schemas.microsoft.com/office/spreadsheetml/2009/9/main" uri="{CCE6A557-97BC-4b89-ADB6-D9C93CAAB3DF}">
      <x14:dataValidations xmlns:xm="http://schemas.microsoft.com/office/excel/2006/main" count="5">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600-000003000000}">
          <x14:formula1>
            <xm:f>OR(AND('Personnel Yr 1'!$N$5="Federal - NIH",SUM(H$41,'Personnel Yr 1'!$N$23)/H$93&lt;=NIHGradLimit),'Personnel Yr 1'!$N$5&lt;&gt;"Federal - NIH")</xm:f>
          </x14:formula1>
          <xm:sqref>H41:I41</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600-000004000000}">
          <x14:formula1>
            <xm:f>OR(AND('Personnel Yr 1'!$N$5="Federal - NIH",SUM(J$41,'Personnel Yr 2'!$N$23)/J$93&lt;=NIHGradLimit),'Personnel Yr 1'!$N$5&lt;&gt;"Federal - NIH")</xm:f>
          </x14:formula1>
          <xm:sqref>J41:K41</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600-000005000000}">
          <x14:formula1>
            <xm:f>OR(AND('Personnel Yr 1'!$N$5="Federal - NIH",SUM(L$41,'Personnel Yr 3'!$N$23)/L$93&lt;=NIHGradLimit),'Personnel Yr 1'!$N$5&lt;&gt;"Federal - NIH")</xm:f>
          </x14:formula1>
          <xm:sqref>L41:M41</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600-000006000000}">
          <x14:formula1>
            <xm:f>OR(AND('Personnel Yr 1'!$N$5="Federal - NIH",SUM(N$41,'Personnel Yr 4'!$N$23)/N$93&lt;=NIHGradLimit),'Personnel Yr 1'!$N$5&lt;&gt;"Federal - NIH")</xm:f>
          </x14:formula1>
          <xm:sqref>N41:O41</xm:sqref>
        </x14:dataValidation>
        <x14:dataValidation type="custom" errorStyle="information" allowBlank="1" showInputMessage="1" showErrorMessage="1" errorTitle="Grad Rate Error" error="Graduate Student Compensation potentially exceeds NIH cap of $43,692/student.  Please note: NIH Graduate Student Componsation Cap equals Salary + Fringe Benefits + any Tuition Needs requested." xr:uid="{00000000-0002-0000-0600-000007000000}">
          <x14:formula1>
            <xm:f>OR(AND('Personnel Yr 1'!$N$5="Federal - NIH",SUM(P$41,'Personnel Yr 5'!$N$23)/P$93&lt;=NIHGradLimit),'Personnel Yr 1'!$N$5&lt;&gt;"Federal - NIH")</xm:f>
          </x14:formula1>
          <xm:sqref>P41:Q41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S32"/>
  <sheetViews>
    <sheetView workbookViewId="0">
      <selection sqref="A1:G1"/>
    </sheetView>
  </sheetViews>
  <sheetFormatPr defaultRowHeight="12.75" x14ac:dyDescent="0.2"/>
  <cols>
    <col min="1" max="5" width="10" customWidth="1"/>
    <col min="6" max="7" width="19.28515625" customWidth="1"/>
    <col min="8" max="9" width="10" customWidth="1"/>
  </cols>
  <sheetData>
    <row r="1" spans="1:19" ht="18" x14ac:dyDescent="0.25">
      <c r="A1" s="561" t="s">
        <v>77</v>
      </c>
      <c r="B1" s="561"/>
      <c r="C1" s="561"/>
      <c r="D1" s="561"/>
      <c r="E1" s="561"/>
      <c r="F1" s="561"/>
      <c r="G1" s="561"/>
      <c r="H1" s="35"/>
      <c r="I1" s="35"/>
      <c r="J1" s="35"/>
      <c r="K1" s="35"/>
      <c r="L1" s="35"/>
      <c r="M1" s="35"/>
      <c r="N1" s="35"/>
      <c r="O1" s="35"/>
      <c r="P1" s="35"/>
      <c r="Q1" s="35"/>
      <c r="R1" s="35"/>
      <c r="S1" s="35"/>
    </row>
    <row r="2" spans="1:19" x14ac:dyDescent="0.2">
      <c r="A2" s="1"/>
      <c r="B2" s="1"/>
      <c r="C2" s="1"/>
      <c r="D2" s="1"/>
      <c r="E2" s="1"/>
      <c r="F2" s="1"/>
      <c r="G2" s="1"/>
      <c r="H2" s="1"/>
      <c r="I2" s="1"/>
      <c r="J2" s="1"/>
      <c r="K2" s="1"/>
      <c r="L2" s="1"/>
      <c r="M2" s="1"/>
      <c r="N2" s="1"/>
      <c r="O2" s="31"/>
      <c r="P2" s="31"/>
      <c r="Q2" s="31"/>
      <c r="R2" s="31"/>
      <c r="S2" s="31"/>
    </row>
    <row r="3" spans="1:19" ht="18" x14ac:dyDescent="0.25">
      <c r="A3" s="561" t="s">
        <v>83</v>
      </c>
      <c r="B3" s="561"/>
      <c r="C3" s="561"/>
      <c r="D3" s="561"/>
      <c r="E3" s="561"/>
      <c r="F3" s="561"/>
      <c r="G3" s="561"/>
      <c r="H3" s="35"/>
      <c r="I3" s="35"/>
      <c r="J3" s="35"/>
      <c r="K3" s="35"/>
      <c r="L3" s="35"/>
      <c r="M3" s="35"/>
      <c r="N3" s="35"/>
      <c r="O3" s="35"/>
      <c r="P3" s="35"/>
      <c r="Q3" s="35"/>
      <c r="R3" s="35"/>
      <c r="S3" s="35"/>
    </row>
    <row r="4" spans="1:19" ht="13.5" thickBot="1" x14ac:dyDescent="0.25">
      <c r="F4" s="699" t="s">
        <v>84</v>
      </c>
      <c r="G4" s="699"/>
      <c r="H4" t="s">
        <v>120</v>
      </c>
      <c r="I4" t="s">
        <v>121</v>
      </c>
      <c r="J4" t="s">
        <v>122</v>
      </c>
      <c r="K4">
        <v>4</v>
      </c>
      <c r="L4">
        <v>5</v>
      </c>
    </row>
    <row r="5" spans="1:19" x14ac:dyDescent="0.2">
      <c r="A5" s="766" t="s">
        <v>85</v>
      </c>
      <c r="B5" s="767"/>
      <c r="C5" s="767"/>
      <c r="D5" s="767"/>
      <c r="E5" s="768"/>
      <c r="F5" s="58"/>
      <c r="G5" s="57">
        <f>SUM('Personnel Yr 1'!N16,'Personnel Yr 2'!N16,'Personnel Yr 3'!N16,'Personnel Yr 4'!N16,'Personnel Yr 5'!N16)</f>
        <v>0</v>
      </c>
      <c r="H5" s="139">
        <f>'Personnel Yr 1'!N16</f>
        <v>0</v>
      </c>
      <c r="I5" s="139">
        <f>'Personnel Yr 2'!N16</f>
        <v>0</v>
      </c>
      <c r="J5" s="139">
        <f>'Personnel Yr 3'!N16</f>
        <v>0</v>
      </c>
      <c r="K5" s="139">
        <f>'Personnel Yr 4'!N16</f>
        <v>0</v>
      </c>
      <c r="L5" s="139">
        <f>'Personnel Yr 5'!N16</f>
        <v>0</v>
      </c>
    </row>
    <row r="6" spans="1:19" x14ac:dyDescent="0.2">
      <c r="A6" s="763" t="s">
        <v>86</v>
      </c>
      <c r="B6" s="764"/>
      <c r="C6" s="764"/>
      <c r="D6" s="764"/>
      <c r="E6" s="765"/>
      <c r="F6" s="38"/>
      <c r="G6" s="37">
        <f>SUM('Personnel Yr 1'!N29,'Personnel Yr 2'!N29,'Personnel Yr 3'!N29,'Personnel Yr 4'!N29,'Personnel Yr 5'!N29)</f>
        <v>0</v>
      </c>
    </row>
    <row r="7" spans="1:19" x14ac:dyDescent="0.2">
      <c r="B7" s="760" t="s">
        <v>11</v>
      </c>
      <c r="C7" s="761"/>
      <c r="D7" s="761"/>
      <c r="E7" s="762"/>
      <c r="F7" s="59">
        <f>SUM('Personnel Yr 5'!B29,'Personnel Yr 4'!B29,'Personnel Yr 3'!B29,'Personnel Yr 2'!B29,'Personnel Yr 1'!B29)</f>
        <v>0</v>
      </c>
      <c r="G7" s="39"/>
    </row>
    <row r="8" spans="1:19" x14ac:dyDescent="0.2">
      <c r="A8" s="763" t="s">
        <v>13</v>
      </c>
      <c r="B8" s="764"/>
      <c r="C8" s="764"/>
      <c r="D8" s="764"/>
      <c r="E8" s="765"/>
      <c r="F8" s="38"/>
      <c r="G8" s="37">
        <f>SUM('Personnel Yr 1'!N30,'Personnel Yr 2'!N30,'Personnel Yr 3'!N30,'Personnel Yr 4'!N30,'Personnel Yr 5'!N30)</f>
        <v>0</v>
      </c>
    </row>
    <row r="9" spans="1:19" x14ac:dyDescent="0.2">
      <c r="A9" s="763" t="s">
        <v>87</v>
      </c>
      <c r="B9" s="764"/>
      <c r="C9" s="764"/>
      <c r="D9" s="764"/>
      <c r="E9" s="765"/>
      <c r="F9" s="38"/>
      <c r="G9" s="37">
        <f>SUM('Non-personnel'!R15:S15)</f>
        <v>0</v>
      </c>
    </row>
    <row r="10" spans="1:19" x14ac:dyDescent="0.2">
      <c r="A10" s="763" t="s">
        <v>88</v>
      </c>
      <c r="B10" s="764"/>
      <c r="C10" s="764"/>
      <c r="D10" s="764"/>
      <c r="E10" s="765"/>
      <c r="F10" s="59">
        <f>SUM('Non-personnel'!R21:S21)</f>
        <v>0</v>
      </c>
      <c r="G10" s="39"/>
    </row>
    <row r="11" spans="1:19" x14ac:dyDescent="0.2">
      <c r="A11" s="36">
        <v>1</v>
      </c>
      <c r="B11" s="758" t="s">
        <v>89</v>
      </c>
      <c r="C11" s="758"/>
      <c r="D11" s="758"/>
      <c r="E11" s="759"/>
      <c r="F11" s="59">
        <f>SUM('Non-personnel'!R19:S19)</f>
        <v>0</v>
      </c>
      <c r="G11" s="39"/>
    </row>
    <row r="12" spans="1:19" x14ac:dyDescent="0.2">
      <c r="A12" s="36">
        <v>2</v>
      </c>
      <c r="B12" s="758" t="s">
        <v>90</v>
      </c>
      <c r="C12" s="758"/>
      <c r="D12" s="758"/>
      <c r="E12" s="759"/>
      <c r="F12" s="60">
        <f>SUM('Non-personnel'!R20:S20)</f>
        <v>0</v>
      </c>
      <c r="G12" s="39"/>
    </row>
    <row r="13" spans="1:19" x14ac:dyDescent="0.2">
      <c r="A13" s="763" t="s">
        <v>91</v>
      </c>
      <c r="B13" s="764"/>
      <c r="C13" s="764"/>
      <c r="D13" s="764"/>
      <c r="E13" s="765"/>
      <c r="F13" s="61"/>
      <c r="G13" s="62">
        <f>SUM('Non-personnel'!R29:S29)</f>
        <v>0</v>
      </c>
    </row>
    <row r="14" spans="1:19" x14ac:dyDescent="0.2">
      <c r="A14" s="36">
        <v>2</v>
      </c>
      <c r="B14" s="758" t="s">
        <v>27</v>
      </c>
      <c r="C14" s="758"/>
      <c r="D14" s="758"/>
      <c r="E14" s="759"/>
      <c r="F14" s="59">
        <f>SUM('Non-personnel'!R25:S25)</f>
        <v>0</v>
      </c>
      <c r="G14" s="39"/>
    </row>
    <row r="15" spans="1:19" x14ac:dyDescent="0.2">
      <c r="A15" s="36">
        <v>3</v>
      </c>
      <c r="B15" s="758" t="s">
        <v>28</v>
      </c>
      <c r="C15" s="758"/>
      <c r="D15" s="758"/>
      <c r="E15" s="759"/>
      <c r="F15" s="59">
        <f>SUM('Non-personnel'!R26:S26)</f>
        <v>0</v>
      </c>
      <c r="G15" s="39"/>
    </row>
    <row r="16" spans="1:19" x14ac:dyDescent="0.2">
      <c r="A16" s="36">
        <v>4</v>
      </c>
      <c r="B16" s="758" t="s">
        <v>29</v>
      </c>
      <c r="C16" s="758"/>
      <c r="D16" s="758"/>
      <c r="E16" s="759"/>
      <c r="F16" s="59">
        <f>SUM('Non-personnel'!R27:S27)</f>
        <v>0</v>
      </c>
      <c r="G16" s="39"/>
    </row>
    <row r="17" spans="1:7" x14ac:dyDescent="0.2">
      <c r="A17" s="36">
        <v>5</v>
      </c>
      <c r="B17" s="758" t="s">
        <v>30</v>
      </c>
      <c r="C17" s="758"/>
      <c r="D17" s="758"/>
      <c r="E17" s="759"/>
      <c r="F17" s="59">
        <f>SUM('Non-personnel'!R28:S28)</f>
        <v>0</v>
      </c>
      <c r="G17" s="39"/>
    </row>
    <row r="18" spans="1:7" x14ac:dyDescent="0.2">
      <c r="A18" s="36">
        <v>6</v>
      </c>
      <c r="B18" s="758" t="s">
        <v>21</v>
      </c>
      <c r="C18" s="758"/>
      <c r="D18" s="758"/>
      <c r="E18" s="759"/>
      <c r="F18" s="59">
        <f>SUM('Non-personnel'!R29:S29)</f>
        <v>0</v>
      </c>
      <c r="G18" s="39"/>
    </row>
    <row r="19" spans="1:7" x14ac:dyDescent="0.2">
      <c r="A19" s="763" t="s">
        <v>92</v>
      </c>
      <c r="B19" s="764"/>
      <c r="C19" s="764"/>
      <c r="D19" s="764"/>
      <c r="E19" s="765"/>
      <c r="F19" s="38"/>
      <c r="G19" s="37">
        <f>SUM('Non-personnel'!R48:S48)</f>
        <v>0</v>
      </c>
    </row>
    <row r="20" spans="1:7" x14ac:dyDescent="0.2">
      <c r="A20" s="36">
        <v>1</v>
      </c>
      <c r="B20" s="758" t="s">
        <v>23</v>
      </c>
      <c r="C20" s="758"/>
      <c r="D20" s="758"/>
      <c r="E20" s="759"/>
      <c r="F20" s="59">
        <f>SUM('Non-personnel'!R34:S34)</f>
        <v>0</v>
      </c>
      <c r="G20" s="39"/>
    </row>
    <row r="21" spans="1:7" x14ac:dyDescent="0.2">
      <c r="A21" s="36">
        <v>2</v>
      </c>
      <c r="B21" s="758" t="s">
        <v>24</v>
      </c>
      <c r="C21" s="758"/>
      <c r="D21" s="758"/>
      <c r="E21" s="759"/>
      <c r="F21" s="59">
        <f>SUM('Non-personnel'!R35:S35)</f>
        <v>0</v>
      </c>
      <c r="G21" s="39"/>
    </row>
    <row r="22" spans="1:7" x14ac:dyDescent="0.2">
      <c r="A22" s="36">
        <v>3</v>
      </c>
      <c r="B22" s="758" t="s">
        <v>25</v>
      </c>
      <c r="C22" s="758"/>
      <c r="D22" s="758"/>
      <c r="E22" s="759"/>
      <c r="F22" s="59">
        <f>SUM('Non-personnel'!R36:S36)</f>
        <v>0</v>
      </c>
      <c r="G22" s="39"/>
    </row>
    <row r="23" spans="1:7" x14ac:dyDescent="0.2">
      <c r="A23" s="36">
        <v>4</v>
      </c>
      <c r="B23" s="758" t="s">
        <v>214</v>
      </c>
      <c r="C23" s="758"/>
      <c r="D23" s="758"/>
      <c r="E23" s="759"/>
      <c r="F23" s="59">
        <f>SUM('Non-personnel'!R37:S37)</f>
        <v>0</v>
      </c>
      <c r="G23" s="39"/>
    </row>
    <row r="24" spans="1:7" x14ac:dyDescent="0.2">
      <c r="A24" s="36">
        <v>5</v>
      </c>
      <c r="B24" s="758" t="s">
        <v>26</v>
      </c>
      <c r="C24" s="758"/>
      <c r="D24" s="758"/>
      <c r="E24" s="759"/>
      <c r="F24" s="59">
        <f>SUM('Non-personnel'!R38:S38)</f>
        <v>0</v>
      </c>
      <c r="G24" s="39"/>
    </row>
    <row r="25" spans="1:7" x14ac:dyDescent="0.2">
      <c r="A25" s="36">
        <v>6</v>
      </c>
      <c r="B25" s="758" t="s">
        <v>215</v>
      </c>
      <c r="C25" s="758"/>
      <c r="D25" s="758"/>
      <c r="E25" s="759"/>
      <c r="F25" s="59">
        <f>SUM('Non-personnel'!R39:S39)</f>
        <v>0</v>
      </c>
      <c r="G25" s="39"/>
    </row>
    <row r="26" spans="1:7" x14ac:dyDescent="0.2">
      <c r="A26" s="36">
        <v>7</v>
      </c>
      <c r="B26" s="758" t="s">
        <v>216</v>
      </c>
      <c r="C26" s="758"/>
      <c r="D26" s="758"/>
      <c r="E26" s="759"/>
      <c r="F26" s="59">
        <f>SUM('Non-personnel'!R40:S40)</f>
        <v>0</v>
      </c>
      <c r="G26" s="39"/>
    </row>
    <row r="27" spans="1:7" x14ac:dyDescent="0.2">
      <c r="A27" s="36">
        <v>8</v>
      </c>
      <c r="B27" s="769" t="s">
        <v>49</v>
      </c>
      <c r="C27" s="769"/>
      <c r="D27" s="769"/>
      <c r="E27" s="770"/>
      <c r="F27" s="59">
        <f>SUM('Non-personnel'!R41:S41)</f>
        <v>0</v>
      </c>
      <c r="G27" s="39"/>
    </row>
    <row r="28" spans="1:7" x14ac:dyDescent="0.2">
      <c r="A28" s="36">
        <v>9</v>
      </c>
      <c r="B28" s="758" t="str">
        <f>'Non-personnel'!B46</f>
        <v>Other - Describe</v>
      </c>
      <c r="C28" s="758"/>
      <c r="D28" s="758"/>
      <c r="E28" s="759"/>
      <c r="F28" s="59">
        <f>SUM('Non-personnel'!R46:S46)</f>
        <v>0</v>
      </c>
      <c r="G28" s="39"/>
    </row>
    <row r="29" spans="1:7" x14ac:dyDescent="0.2">
      <c r="A29" s="36">
        <v>10</v>
      </c>
      <c r="B29" s="758" t="str">
        <f>'Non-personnel'!B47</f>
        <v>Other - Describe</v>
      </c>
      <c r="C29" s="758"/>
      <c r="D29" s="758"/>
      <c r="E29" s="759"/>
      <c r="F29" s="59">
        <f>SUM('Non-personnel'!R47:S47)</f>
        <v>0</v>
      </c>
      <c r="G29" s="39"/>
    </row>
    <row r="30" spans="1:7" x14ac:dyDescent="0.2">
      <c r="A30" s="763" t="s">
        <v>93</v>
      </c>
      <c r="B30" s="764"/>
      <c r="C30" s="764"/>
      <c r="D30" s="764"/>
      <c r="E30" s="765"/>
      <c r="F30" s="38"/>
      <c r="G30" s="37">
        <f>SUM('Non-personnel'!R52:S52)</f>
        <v>0</v>
      </c>
    </row>
    <row r="31" spans="1:7" x14ac:dyDescent="0.2">
      <c r="A31" s="763" t="s">
        <v>94</v>
      </c>
      <c r="B31" s="764"/>
      <c r="C31" s="764"/>
      <c r="D31" s="764"/>
      <c r="E31" s="765"/>
      <c r="F31" s="38"/>
      <c r="G31" s="37">
        <f>SUM('Non-personnel'!R62:S62)</f>
        <v>0</v>
      </c>
    </row>
    <row r="32" spans="1:7" x14ac:dyDescent="0.2">
      <c r="A32" s="763" t="s">
        <v>95</v>
      </c>
      <c r="B32" s="764"/>
      <c r="C32" s="764"/>
      <c r="D32" s="764"/>
      <c r="E32" s="765"/>
      <c r="F32" s="38"/>
      <c r="G32" s="37">
        <f>SUM('Non-personnel'!R66:S66)</f>
        <v>0</v>
      </c>
    </row>
  </sheetData>
  <mergeCells count="31">
    <mergeCell ref="A32:E32"/>
    <mergeCell ref="A31:E31"/>
    <mergeCell ref="A30:E30"/>
    <mergeCell ref="B17:E17"/>
    <mergeCell ref="A13:E13"/>
    <mergeCell ref="B14:E14"/>
    <mergeCell ref="B24:E24"/>
    <mergeCell ref="B28:E28"/>
    <mergeCell ref="B27:E27"/>
    <mergeCell ref="B26:E26"/>
    <mergeCell ref="B29:E29"/>
    <mergeCell ref="B25:E25"/>
    <mergeCell ref="B15:E15"/>
    <mergeCell ref="B23:E23"/>
    <mergeCell ref="B16:E16"/>
    <mergeCell ref="B20:E20"/>
    <mergeCell ref="B22:E22"/>
    <mergeCell ref="B21:E21"/>
    <mergeCell ref="A1:G1"/>
    <mergeCell ref="B7:E7"/>
    <mergeCell ref="F4:G4"/>
    <mergeCell ref="A6:E6"/>
    <mergeCell ref="A5:E5"/>
    <mergeCell ref="B12:E12"/>
    <mergeCell ref="A3:G3"/>
    <mergeCell ref="A9:E9"/>
    <mergeCell ref="A10:E10"/>
    <mergeCell ref="A8:E8"/>
    <mergeCell ref="B11:E11"/>
    <mergeCell ref="B18:E18"/>
    <mergeCell ref="A19:E19"/>
  </mergeCells>
  <phoneticPr fontId="5" type="noConversion"/>
  <printOptions horizontalCentered="1"/>
  <pageMargins left="0.25" right="0.25" top="0.5" bottom="0.5" header="0.5" footer="0.5"/>
  <pageSetup orientation="portrait" r:id="rId1"/>
  <headerFooter alignWithMargins="0">
    <oddFooter>&amp;RPrinted On: &amp;D &amp;T</oddFooter>
  </headerFooter>
  <ignoredErrors>
    <ignoredError sqref="C28:E2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N376"/>
  <sheetViews>
    <sheetView zoomScaleNormal="100" zoomScaleSheetLayoutView="100" workbookViewId="0">
      <selection sqref="A1:H1"/>
    </sheetView>
  </sheetViews>
  <sheetFormatPr defaultRowHeight="12.75" x14ac:dyDescent="0.2"/>
  <cols>
    <col min="1" max="1" width="23.7109375" customWidth="1"/>
    <col min="2" max="2" width="18.7109375" customWidth="1"/>
    <col min="3" max="4" width="15.7109375" customWidth="1"/>
    <col min="5" max="7" width="10.85546875" hidden="1" customWidth="1"/>
    <col min="8" max="8" width="15.7109375" customWidth="1"/>
  </cols>
  <sheetData>
    <row r="1" spans="1:14" ht="20.25" customHeight="1" x14ac:dyDescent="0.2">
      <c r="A1" s="820" t="s">
        <v>505</v>
      </c>
      <c r="B1" s="820"/>
      <c r="C1" s="820"/>
      <c r="D1" s="820"/>
      <c r="E1" s="820"/>
      <c r="F1" s="820"/>
      <c r="G1" s="820"/>
      <c r="H1" s="820"/>
    </row>
    <row r="2" spans="1:14" ht="15" x14ac:dyDescent="0.25">
      <c r="A2" s="529" t="s">
        <v>126</v>
      </c>
      <c r="B2" s="529" t="str">
        <f>CONCATENATE('Personnel Yr 1'!B7, IF(OR(ISBLANK('Personnel Yr 1'!B7),'Personnel Yr 1'!B7=""),""," "),'Personnel Yr 1'!C7, " ",'Personnel Yr 1'!D7,IF(OR(ISBLANK('Personnel Yr 1'!D7),'Personnel Yr 1'!D7=""),""," "),'Personnel Yr 1'!E7," ",'Personnel Yr 1'!F7)</f>
        <v xml:space="preserve">    </v>
      </c>
      <c r="C2" s="529"/>
      <c r="D2" s="530" t="s">
        <v>104</v>
      </c>
      <c r="E2" s="531"/>
      <c r="F2" s="528"/>
      <c r="G2" s="530"/>
      <c r="H2" s="532">
        <f>'Personnel Yr 1'!H5</f>
        <v>44713</v>
      </c>
    </row>
    <row r="3" spans="1:14" s="458" customFormat="1" ht="6.75" customHeight="1" x14ac:dyDescent="0.2">
      <c r="A3" s="473" t="s">
        <v>218</v>
      </c>
      <c r="B3" s="473">
        <f>'Personnel Yr 1'!N4</f>
        <v>0</v>
      </c>
    </row>
    <row r="4" spans="1:14" ht="14.25" x14ac:dyDescent="0.2">
      <c r="A4" s="832" t="s">
        <v>127</v>
      </c>
      <c r="B4" s="832"/>
      <c r="C4" s="80"/>
      <c r="D4" s="80"/>
      <c r="E4" s="80"/>
      <c r="F4" s="80"/>
      <c r="G4" s="80"/>
      <c r="H4" s="80"/>
    </row>
    <row r="5" spans="1:14" ht="14.45" customHeight="1" x14ac:dyDescent="0.25">
      <c r="A5" s="823" t="s">
        <v>128</v>
      </c>
      <c r="B5" s="823"/>
      <c r="C5" s="81"/>
      <c r="D5" s="81"/>
      <c r="E5" s="81"/>
      <c r="F5" s="81"/>
      <c r="G5" s="81"/>
      <c r="H5" s="81"/>
    </row>
    <row r="6" spans="1:14" ht="14.45" customHeight="1" x14ac:dyDescent="0.25">
      <c r="A6" s="224" t="str">
        <f>CONCATENATE('Personnel Yr 1'!B7, IF(OR(ISBLANK('Personnel Yr 1'!B7),'Personnel Yr 1'!B7=""),""," "),'Personnel Yr 1'!C7, " ",'Personnel Yr 1'!D7,IF(OR(ISBLANK('Personnel Yr 1'!D7),'Personnel Yr 1'!D7=""),""," "),'Personnel Yr 1'!E7," ",'Personnel Yr 1'!F7)</f>
        <v xml:space="preserve">    </v>
      </c>
      <c r="B6" s="242"/>
      <c r="C6" s="493" t="s">
        <v>35</v>
      </c>
      <c r="D6" s="493" t="s">
        <v>36</v>
      </c>
      <c r="E6" s="493" t="s">
        <v>37</v>
      </c>
      <c r="F6" s="493" t="s">
        <v>38</v>
      </c>
      <c r="G6" s="493" t="s">
        <v>39</v>
      </c>
      <c r="H6" s="493" t="s">
        <v>40</v>
      </c>
    </row>
    <row r="7" spans="1:14" ht="12.95" customHeight="1" x14ac:dyDescent="0.2">
      <c r="A7" s="474" t="s">
        <v>69</v>
      </c>
      <c r="B7" s="475"/>
      <c r="C7" s="476">
        <f>ROUND(('Personnel Yr 1'!S7),0)</f>
        <v>0</v>
      </c>
      <c r="D7" s="476">
        <f>IF(OR(ISBLANK('Personnel Yr 2'!R7),'Personnel Yr 2'!R7=""),0,ROUND(('Personnel Yr 2'!R7),0))</f>
        <v>0</v>
      </c>
      <c r="E7" s="476">
        <f>IF(OR(ISBLANK('Personnel Yr 3'!R7),'Personnel Yr 3'!R7=""),0,ROUND(('Personnel Yr 3'!R7),0))</f>
        <v>0</v>
      </c>
      <c r="F7" s="476">
        <f>IF(OR(ISBLANK('Personnel Yr 4'!R7),'Personnel Yr 4'!R7=""),0,ROUND(('Personnel Yr 4'!R7),0))</f>
        <v>0</v>
      </c>
      <c r="G7" s="476">
        <f>IF(OR(ISBLANK('Personnel Yr 5'!R7),'Personnel Yr 5'!R7=""),0,ROUND(('Personnel Yr 5'!R7),0))</f>
        <v>0</v>
      </c>
      <c r="H7" s="476">
        <f>SUM(C7:G7)</f>
        <v>0</v>
      </c>
    </row>
    <row r="8" spans="1:14" ht="12.95" customHeight="1" x14ac:dyDescent="0.2">
      <c r="A8" s="474" t="s">
        <v>130</v>
      </c>
      <c r="B8" s="475"/>
      <c r="C8" s="476">
        <f>ROUND(('Personnel Yr 1'!R7),0)</f>
        <v>0</v>
      </c>
      <c r="D8" s="476">
        <f>IF(OR(ISBLANK('Personnel Yr 2'!Q7),'Personnel Yr 2'!Q7=""),0,ROUND(('Personnel Yr 2'!Q7),0))</f>
        <v>0</v>
      </c>
      <c r="E8" s="476">
        <f>IF(OR(ISBLANK('Personnel Yr 3'!Q7),'Personnel Yr 3'!Q7=""),0,ROUND(('Personnel Yr 3'!Q7),0))</f>
        <v>0</v>
      </c>
      <c r="F8" s="476">
        <f>IF(OR(ISBLANK('Personnel Yr 4'!Q7),'Personnel Yr 4'!Q7=""),0,ROUND(('Personnel Yr 4'!Q7),0))</f>
        <v>0</v>
      </c>
      <c r="G8" s="476">
        <f>IF(OR(ISBLANK('Personnel Yr 5'!Q7),'Personnel Yr 5'!Q7=""),0,ROUND(('Personnel Yr 5'!Q7),0))</f>
        <v>0</v>
      </c>
      <c r="H8" s="476">
        <f>SUM(C8:G8)</f>
        <v>0</v>
      </c>
    </row>
    <row r="9" spans="1:14" ht="12.95" customHeight="1" x14ac:dyDescent="0.2">
      <c r="A9" s="474" t="s">
        <v>131</v>
      </c>
      <c r="B9" s="477"/>
      <c r="C9" s="476">
        <f>ROUND(('Personnel Yr 1'!Q7),0)</f>
        <v>0</v>
      </c>
      <c r="D9" s="476">
        <f>IF(OR(ISBLANK('Personnel Yr 2'!P7),'Personnel Yr 2'!P7=""),0,ROUND(('Personnel Yr 2'!P7),0))</f>
        <v>0</v>
      </c>
      <c r="E9" s="476">
        <f>IF(OR(ISBLANK('Personnel Yr 3'!P7),'Personnel Yr 3'!P7=""),0,ROUND(('Personnel Yr 3'!P7),0))</f>
        <v>0</v>
      </c>
      <c r="F9" s="476">
        <f>IF(OR(ISBLANK('Personnel Yr 4'!P7),'Personnel Yr 4'!P7=""),0,ROUND(('Personnel Yr 4'!P7),0))</f>
        <v>0</v>
      </c>
      <c r="G9" s="476">
        <f>IF(OR(ISBLANK('Personnel Yr 5'!P7),'Personnel Yr 5'!P7=""),0,ROUND(('Personnel Yr 5'!P7),0))</f>
        <v>0</v>
      </c>
      <c r="H9" s="476">
        <f>SUM(C9:G9)</f>
        <v>0</v>
      </c>
      <c r="L9" s="9"/>
    </row>
    <row r="10" spans="1:14" ht="12.95" customHeight="1" x14ac:dyDescent="0.25">
      <c r="A10" s="805" t="str">
        <f>CONCATENATE('Personnel Yr 1'!B8, IF(OR(ISBLANK('Personnel Yr 1'!B8),'Personnel Yr 1'!B8=""),""," "),'Personnel Yr 1'!C8, " ",'Personnel Yr 1'!D8,IF(OR(ISBLANK('Personnel Yr 1'!D8),'Personnel Yr 1'!D8=""),""," "),'Personnel Yr 1'!E8," ",'Personnel Yr 1'!F8)</f>
        <v xml:space="preserve">  </v>
      </c>
      <c r="B10" s="826"/>
      <c r="C10" s="478"/>
      <c r="D10" s="479"/>
      <c r="E10" s="479"/>
      <c r="F10" s="479"/>
      <c r="G10" s="479"/>
      <c r="H10" s="480"/>
    </row>
    <row r="11" spans="1:14" ht="12.95" customHeight="1" x14ac:dyDescent="0.2">
      <c r="A11" s="474" t="s">
        <v>69</v>
      </c>
      <c r="B11" s="475"/>
      <c r="C11" s="476">
        <f>ROUND(('Personnel Yr 1'!S8),0)</f>
        <v>0</v>
      </c>
      <c r="D11" s="476">
        <f>IF(OR(ISBLANK('Personnel Yr 2'!R8),'Personnel Yr 2'!R8=""),0,ROUND(('Personnel Yr 2'!R8),0))</f>
        <v>0</v>
      </c>
      <c r="E11" s="476">
        <f>IF(OR(ISBLANK('Personnel Yr 3'!R8),'Personnel Yr 3'!R8=""),0,ROUND(('Personnel Yr 3'!R8),0))</f>
        <v>0</v>
      </c>
      <c r="F11" s="476">
        <f>IF(OR(ISBLANK('Personnel Yr 4'!R8),'Personnel Yr 4'!R8=""),0,ROUND(('Personnel Yr 4'!R8),0))</f>
        <v>0</v>
      </c>
      <c r="G11" s="476">
        <f>IF(OR(ISBLANK('Personnel Yr 5'!R8),'Personnel Yr 5'!R8=""),0,ROUND(('Personnel Yr 5'!R8),0))</f>
        <v>0</v>
      </c>
      <c r="H11" s="476">
        <f>SUM(C11:G11)</f>
        <v>0</v>
      </c>
    </row>
    <row r="12" spans="1:14" ht="12.95" customHeight="1" x14ac:dyDescent="0.2">
      <c r="A12" s="474" t="s">
        <v>130</v>
      </c>
      <c r="B12" s="475"/>
      <c r="C12" s="476">
        <f>ROUND(('Personnel Yr 1'!R8),0)</f>
        <v>0</v>
      </c>
      <c r="D12" s="476">
        <f>IF(OR(ISBLANK('Personnel Yr 2'!Q8),'Personnel Yr 2'!Q8=""),0,ROUND(('Personnel Yr 2'!Q8),0))</f>
        <v>0</v>
      </c>
      <c r="E12" s="476">
        <f>IF(OR(ISBLANK('Personnel Yr 3'!R8),'Personnel Yr 3'!R8=""),0,ROUND(('Personnel Yr 3'!Q8),0))</f>
        <v>0</v>
      </c>
      <c r="F12" s="476">
        <f>IF(OR(ISBLANK('Personnel Yr 4'!R8),'Personnel Yr 4'!R8=""),0,ROUND(('Personnel Yr 4'!Q8),0))</f>
        <v>0</v>
      </c>
      <c r="G12" s="476">
        <f>IF(OR(ISBLANK('Personnel Yr 5'!R8),'Personnel Yr 5'!R8=""),0,ROUND(('Personnel Yr 5'!Q8),0))</f>
        <v>0</v>
      </c>
      <c r="H12" s="476">
        <f>SUM(C12:G12)</f>
        <v>0</v>
      </c>
    </row>
    <row r="13" spans="1:14" ht="12.95" customHeight="1" x14ac:dyDescent="0.2">
      <c r="A13" s="474" t="s">
        <v>131</v>
      </c>
      <c r="B13" s="477"/>
      <c r="C13" s="476">
        <f>ROUND(('Personnel Yr 1'!Q8),0)</f>
        <v>0</v>
      </c>
      <c r="D13" s="476">
        <f>IF(OR(ISBLANK('Personnel Yr 2'!P8),'Personnel Yr 2'!P8=""),0,ROUND(('Personnel Yr 2'!P8),0))</f>
        <v>0</v>
      </c>
      <c r="E13" s="476">
        <f>IF(OR(ISBLANK('Personnel Yr 3'!P8),'Personnel Yr 3'!P8=""),0,ROUND(('Personnel Yr 3'!P8),0))</f>
        <v>0</v>
      </c>
      <c r="F13" s="476">
        <f>IF(OR(ISBLANK('Personnel Yr 4'!P8),'Personnel Yr 4'!P8=""),0,ROUND(('Personnel Yr 4'!P8),0))</f>
        <v>0</v>
      </c>
      <c r="G13" s="476">
        <f>IF(OR(ISBLANK('Personnel Yr 5'!P8),'Personnel Yr 5'!P8=""),0,ROUND(('Personnel Yr 5'!P8),0))</f>
        <v>0</v>
      </c>
      <c r="H13" s="476">
        <f>SUM(C13:G13)</f>
        <v>0</v>
      </c>
      <c r="N13" s="9"/>
    </row>
    <row r="14" spans="1:14" ht="12.95" customHeight="1" x14ac:dyDescent="0.25">
      <c r="A14" s="805" t="str">
        <f>CONCATENATE('Personnel Yr 1'!B9, IF(OR(ISBLANK('Personnel Yr 1'!B9),'Personnel Yr 1'!B9=""),""," "),'Personnel Yr 1'!C9, " ",'Personnel Yr 1'!D9,IF(OR(ISBLANK('Personnel Yr 1'!D9),'Personnel Yr 1'!D9=""),""," "),'Personnel Yr 1'!E9," ",'Personnel Yr 1'!F9)</f>
        <v xml:space="preserve">  </v>
      </c>
      <c r="B14" s="826"/>
      <c r="C14" s="478"/>
      <c r="D14" s="479"/>
      <c r="E14" s="479"/>
      <c r="F14" s="479"/>
      <c r="G14" s="479"/>
      <c r="H14" s="480"/>
    </row>
    <row r="15" spans="1:14" ht="12.95" customHeight="1" x14ac:dyDescent="0.2">
      <c r="A15" s="474" t="s">
        <v>69</v>
      </c>
      <c r="B15" s="475"/>
      <c r="C15" s="476">
        <f>ROUND(('Personnel Yr 1'!S9),0)</f>
        <v>0</v>
      </c>
      <c r="D15" s="476">
        <f>IF(OR(ISBLANK('Personnel Yr 2'!R9),'Personnel Yr 2'!R9=""),0,ROUND(('Personnel Yr 2'!R9),0))</f>
        <v>0</v>
      </c>
      <c r="E15" s="476">
        <f>IF(OR(ISBLANK('Personnel Yr 3'!R9),'Personnel Yr 3'!R9=""),0,ROUND(('Personnel Yr 3'!R9),0))</f>
        <v>0</v>
      </c>
      <c r="F15" s="476">
        <f>IF(OR(ISBLANK('Personnel Yr 4'!R9),'Personnel Yr 4'!R9=""),0,ROUND(('Personnel Yr 4'!R9),0))</f>
        <v>0</v>
      </c>
      <c r="G15" s="476">
        <f>IF(OR(ISBLANK('Personnel Yr 5'!R9),'Personnel Yr 5'!R9=""),0,ROUND(('Personnel Yr 5'!R9),0))</f>
        <v>0</v>
      </c>
      <c r="H15" s="476">
        <f>SUM(C15:G15)</f>
        <v>0</v>
      </c>
    </row>
    <row r="16" spans="1:14" ht="12.95" customHeight="1" x14ac:dyDescent="0.2">
      <c r="A16" s="474" t="s">
        <v>130</v>
      </c>
      <c r="B16" s="475"/>
      <c r="C16" s="476">
        <f>ROUND(('Personnel Yr 1'!R9),0)</f>
        <v>0</v>
      </c>
      <c r="D16" s="476">
        <f>IF(OR(ISBLANK('Personnel Yr 2'!Q9),'Personnel Yr 2'!Q9=""),0,ROUND(('Personnel Yr 2'!Q9),0))</f>
        <v>0</v>
      </c>
      <c r="E16" s="476">
        <f>IF(OR(ISBLANK('Personnel Yr 3'!Q9),'Personnel Yr 3'!Q9=""),0,ROUND(('Personnel Yr 3'!Q9),0))</f>
        <v>0</v>
      </c>
      <c r="F16" s="476">
        <f>IF(OR(ISBLANK('Personnel Yr 4'!Q9),'Personnel Yr 4'!Q9=""),0,ROUND(('Personnel Yr 4'!Q9),0))</f>
        <v>0</v>
      </c>
      <c r="G16" s="476">
        <f>IF(OR(ISBLANK('Personnel Yr 5'!Q9),'Personnel Yr 5'!Q9=""),0,ROUND(('Personnel Yr 5'!Q9),0))</f>
        <v>0</v>
      </c>
      <c r="H16" s="476">
        <f>SUM(C16:G16)</f>
        <v>0</v>
      </c>
    </row>
    <row r="17" spans="1:13" ht="12.95" customHeight="1" x14ac:dyDescent="0.2">
      <c r="A17" s="474" t="s">
        <v>131</v>
      </c>
      <c r="B17" s="477"/>
      <c r="C17" s="476">
        <f>ROUND(('Personnel Yr 1'!Q9),0)</f>
        <v>0</v>
      </c>
      <c r="D17" s="476">
        <f>IF(OR(ISBLANK('Personnel Yr 2'!P9),'Personnel Yr 2'!P9=""),0,ROUND(('Personnel Yr 2'!P9),0))</f>
        <v>0</v>
      </c>
      <c r="E17" s="476">
        <f>IF(OR(ISBLANK('Personnel Yr 3'!P9),'Personnel Yr 3'!P9=""),0,ROUND(('Personnel Yr 3'!P9),0))</f>
        <v>0</v>
      </c>
      <c r="F17" s="476">
        <f>IF(OR(ISBLANK('Personnel Yr 4'!P9),'Personnel Yr 4'!P9=""),0,ROUND(('Personnel Yr 4'!P9),0))</f>
        <v>0</v>
      </c>
      <c r="G17" s="476">
        <f>IF(OR(ISBLANK('Personnel Yr 5'!P9),'Personnel Yr 5'!P9=""),0,ROUND(('Personnel Yr 5'!P9),0))</f>
        <v>0</v>
      </c>
      <c r="H17" s="476">
        <f>SUM(C17:G17)</f>
        <v>0</v>
      </c>
    </row>
    <row r="18" spans="1:13" ht="12.95" customHeight="1" x14ac:dyDescent="0.25">
      <c r="A18" s="805" t="str">
        <f>CONCATENATE('Personnel Yr 1'!B10, IF(OR(ISBLANK('Personnel Yr 1'!B10),'Personnel Yr 1'!B10=""),""," "),'Personnel Yr 1'!C10, " ",'Personnel Yr 1'!D10,IF(OR(ISBLANK('Personnel Yr 1'!D10),'Personnel Yr 1'!D10=""),""," "),'Personnel Yr 1'!E10," ",'Personnel Yr 1'!F10)</f>
        <v xml:space="preserve">  </v>
      </c>
      <c r="B18" s="826"/>
      <c r="C18" s="478"/>
      <c r="D18" s="479"/>
      <c r="E18" s="479"/>
      <c r="F18" s="479"/>
      <c r="G18" s="479"/>
      <c r="H18" s="480"/>
    </row>
    <row r="19" spans="1:13" ht="12.95" customHeight="1" x14ac:dyDescent="0.2">
      <c r="A19" s="474" t="s">
        <v>69</v>
      </c>
      <c r="B19" s="475"/>
      <c r="C19" s="476">
        <f>ROUND(('Personnel Yr 1'!S10),0)</f>
        <v>0</v>
      </c>
      <c r="D19" s="476">
        <f>IF(OR(ISBLANK('Personnel Yr 2'!R10),'Personnel Yr 2'!R10=""),0,ROUND(('Personnel Yr 2'!R10),0))</f>
        <v>0</v>
      </c>
      <c r="E19" s="476">
        <f>IF(OR(ISBLANK('Personnel Yr 3'!R10),'Personnel Yr 3'!R10=""),0,ROUND(('Personnel Yr 3'!R10),0))</f>
        <v>0</v>
      </c>
      <c r="F19" s="476">
        <f>IF(OR(ISBLANK('Personnel Yr 4'!R10),'Personnel Yr 4'!R10=""),0,ROUND(('Personnel Yr 4'!R10),0))</f>
        <v>0</v>
      </c>
      <c r="G19" s="476">
        <f>IF(OR(ISBLANK('Personnel Yr 5'!R10),'Personnel Yr 5'!R10=""),0,ROUND(('Personnel Yr 5'!R10),0))</f>
        <v>0</v>
      </c>
      <c r="H19" s="476">
        <f>SUM(C19:G19)</f>
        <v>0</v>
      </c>
    </row>
    <row r="20" spans="1:13" ht="12.95" customHeight="1" x14ac:dyDescent="0.2">
      <c r="A20" s="474" t="s">
        <v>130</v>
      </c>
      <c r="B20" s="475"/>
      <c r="C20" s="476">
        <f>ROUND(('Personnel Yr 1'!R10),0)</f>
        <v>0</v>
      </c>
      <c r="D20" s="476">
        <f>IF(OR(ISBLANK('Personnel Yr 2'!Q10),'Personnel Yr 2'!Q10=""),0,ROUND(('Personnel Yr 2'!Q10),0))</f>
        <v>0</v>
      </c>
      <c r="E20" s="476">
        <f>IF(OR(ISBLANK('Personnel Yr 3'!Q10),'Personnel Yr 3'!Q10=""),0,ROUND(('Personnel Yr 3'!Q10),0))</f>
        <v>0</v>
      </c>
      <c r="F20" s="476">
        <f>IF(OR(ISBLANK('Personnel Yr 4'!Q10),'Personnel Yr 4'!Q10=""),0,ROUND(('Personnel Yr 4'!Q10),0))</f>
        <v>0</v>
      </c>
      <c r="G20" s="476">
        <f>IF(OR(ISBLANK('Personnel Yr 5'!Q10),'Personnel Yr 5'!Q10=""),0,ROUND(('Personnel Yr 5'!Q10),0))</f>
        <v>0</v>
      </c>
      <c r="H20" s="476">
        <f>SUM(C20:G20)</f>
        <v>0</v>
      </c>
      <c r="M20" s="9"/>
    </row>
    <row r="21" spans="1:13" ht="12.95" customHeight="1" x14ac:dyDescent="0.2">
      <c r="A21" s="474" t="s">
        <v>131</v>
      </c>
      <c r="B21" s="477"/>
      <c r="C21" s="476">
        <f>ROUND(('Personnel Yr 1'!Q10),0)</f>
        <v>0</v>
      </c>
      <c r="D21" s="476">
        <f>IF(OR(ISBLANK('Personnel Yr 2'!P10),'Personnel Yr 2'!P10=""),0,ROUND(('Personnel Yr 2'!P10),0))</f>
        <v>0</v>
      </c>
      <c r="E21" s="476">
        <f>IF(OR(ISBLANK('Personnel Yr 3'!P10),'Personnel Yr 3'!P10=""),0,ROUND(('Personnel Yr 3'!P10),0))</f>
        <v>0</v>
      </c>
      <c r="F21" s="476">
        <f>IF(OR(ISBLANK('Personnel Yr 4'!P10),'Personnel Yr 4'!P10=""),0,ROUND(('Personnel Yr 4'!P10),0))</f>
        <v>0</v>
      </c>
      <c r="G21" s="476">
        <f>IF(OR(ISBLANK('Personnel Yr 5'!P10),'Personnel Yr 5'!P10=""),0,ROUND(('Personnel Yr 5'!P10),0))</f>
        <v>0</v>
      </c>
      <c r="H21" s="476">
        <f>SUM(C21:G21)</f>
        <v>0</v>
      </c>
    </row>
    <row r="22" spans="1:13" ht="12.95" customHeight="1" x14ac:dyDescent="0.25">
      <c r="A22" s="805" t="str">
        <f>CONCATENATE('Personnel Yr 1'!B11, IF(OR(ISBLANK('Personnel Yr 1'!B11),'Personnel Yr 1'!B11=""),""," "),'Personnel Yr 1'!C11, " ",'Personnel Yr 1'!D11,IF(OR(ISBLANK('Personnel Yr 1'!D11),'Personnel Yr 1'!D11=""),""," "),'Personnel Yr 1'!E11," ",'Personnel Yr 1'!F11)</f>
        <v xml:space="preserve">  </v>
      </c>
      <c r="B22" s="826"/>
      <c r="C22" s="478"/>
      <c r="D22" s="479"/>
      <c r="E22" s="479"/>
      <c r="F22" s="479"/>
      <c r="G22" s="479"/>
      <c r="H22" s="480"/>
    </row>
    <row r="23" spans="1:13" ht="12.95" customHeight="1" x14ac:dyDescent="0.2">
      <c r="A23" s="474" t="s">
        <v>69</v>
      </c>
      <c r="B23" s="475"/>
      <c r="C23" s="476">
        <f>ROUND(('Personnel Yr 1'!S11),0)</f>
        <v>0</v>
      </c>
      <c r="D23" s="476">
        <f>IF(OR(ISBLANK('Personnel Yr 2'!R11),'Personnel Yr 2'!R11=""),0,ROUND(('Personnel Yr 2'!R11),0))</f>
        <v>0</v>
      </c>
      <c r="E23" s="476">
        <f>IF(OR(ISBLANK('Personnel Yr 3'!R11),'Personnel Yr 3'!R11=""),0,ROUND(('Personnel Yr 3'!R11),0))</f>
        <v>0</v>
      </c>
      <c r="F23" s="476">
        <f>IF(OR(ISBLANK('Personnel Yr 4'!R11),'Personnel Yr 4'!R11=""),0,ROUND(('Personnel Yr 4'!R11),0))</f>
        <v>0</v>
      </c>
      <c r="G23" s="476">
        <f>IF(OR(ISBLANK('Personnel Yr 5'!R11),'Personnel Yr 5'!R11=""),0,ROUND(('Personnel Yr 5'!R11),0))</f>
        <v>0</v>
      </c>
      <c r="H23" s="476">
        <f>SUM(C23:G23)</f>
        <v>0</v>
      </c>
    </row>
    <row r="24" spans="1:13" ht="12.95" customHeight="1" x14ac:dyDescent="0.2">
      <c r="A24" s="474" t="s">
        <v>130</v>
      </c>
      <c r="B24" s="475"/>
      <c r="C24" s="476">
        <f>ROUND(('Personnel Yr 1'!R11),0)</f>
        <v>0</v>
      </c>
      <c r="D24" s="476">
        <f>IF(OR(ISBLANK('Personnel Yr 2'!Q11),'Personnel Yr 2'!Q11=""),0,ROUND(('Personnel Yr 2'!Q11),0))</f>
        <v>0</v>
      </c>
      <c r="E24" s="476">
        <f>IF(OR(ISBLANK('Personnel Yr 3'!Q11),'Personnel Yr 3'!Q11=""),0,ROUND(('Personnel Yr 3'!Q11),0))</f>
        <v>0</v>
      </c>
      <c r="F24" s="476">
        <f>IF(OR(ISBLANK('Personnel Yr 4'!Q11),'Personnel Yr 4'!Q11=""),0,ROUND(('Personnel Yr 4'!Q11),0))</f>
        <v>0</v>
      </c>
      <c r="G24" s="476">
        <f>IF(OR(ISBLANK('Personnel Yr 5'!Q11),'Personnel Yr 5'!Q11=""),0,ROUND(('Personnel Yr 5'!Q11),0))</f>
        <v>0</v>
      </c>
      <c r="H24" s="476">
        <f>SUM(C24:G24)</f>
        <v>0</v>
      </c>
    </row>
    <row r="25" spans="1:13" ht="12.95" customHeight="1" x14ac:dyDescent="0.2">
      <c r="A25" s="474" t="s">
        <v>131</v>
      </c>
      <c r="B25" s="477"/>
      <c r="C25" s="476">
        <f>ROUND(('Personnel Yr 1'!Q11),0)</f>
        <v>0</v>
      </c>
      <c r="D25" s="476">
        <f>IF(OR(ISBLANK('Personnel Yr 2'!P11),'Personnel Yr 2'!P11=""),0,ROUND(('Personnel Yr 2'!P11),0))</f>
        <v>0</v>
      </c>
      <c r="E25" s="476">
        <f>IF(OR(ISBLANK('Personnel Yr 3'!P11),'Personnel Yr 3'!P11=""),0,ROUND(('Personnel Yr 3'!P11),0))</f>
        <v>0</v>
      </c>
      <c r="F25" s="476">
        <f>IF(OR(ISBLANK('Personnel Yr 4'!P11),'Personnel Yr 4'!P11=""),0,ROUND(('Personnel Yr 4'!P11),0))</f>
        <v>0</v>
      </c>
      <c r="G25" s="476">
        <f>IF(OR(ISBLANK('Personnel Yr 5'!P11),'Personnel Yr 5'!P11=""),0,ROUND(('Personnel Yr 5'!P11),0))</f>
        <v>0</v>
      </c>
      <c r="H25" s="476">
        <f>SUM(C25:G25)</f>
        <v>0</v>
      </c>
    </row>
    <row r="26" spans="1:13" ht="12.95" customHeight="1" x14ac:dyDescent="0.25">
      <c r="A26" s="805" t="str">
        <f>CONCATENATE('Personnel Yr 1'!B12, IF(OR(ISBLANK('Personnel Yr 1'!B12),'Personnel Yr 1'!B12=""),""," "),'Personnel Yr 1'!C12, " ",'Personnel Yr 1'!D12,IF(OR(ISBLANK('Personnel Yr 1'!D12),'Personnel Yr 1'!D12=""),""," "),'Personnel Yr 1'!E12," ",'Personnel Yr 1'!F12)</f>
        <v xml:space="preserve">  </v>
      </c>
      <c r="B26" s="826"/>
      <c r="C26" s="481"/>
      <c r="D26" s="482"/>
      <c r="E26" s="482"/>
      <c r="F26" s="482"/>
      <c r="G26" s="482"/>
      <c r="H26" s="483"/>
    </row>
    <row r="27" spans="1:13" ht="12.95" customHeight="1" x14ac:dyDescent="0.2">
      <c r="A27" s="474" t="s">
        <v>69</v>
      </c>
      <c r="B27" s="475"/>
      <c r="C27" s="476">
        <f>ROUND(('Personnel Yr 1'!S12),0)</f>
        <v>0</v>
      </c>
      <c r="D27" s="476">
        <f>IF(OR(ISBLANK('Personnel Yr 2'!R12),'Personnel Yr 2'!R12=""),0,ROUND(('Personnel Yr 2'!R12),0))</f>
        <v>0</v>
      </c>
      <c r="E27" s="476">
        <f>IF(OR(ISBLANK('Personnel Yr 3'!R12),'Personnel Yr 3'!R12=""),0,ROUND(('Personnel Yr 3'!R12),0))</f>
        <v>0</v>
      </c>
      <c r="F27" s="476">
        <f>IF(OR(ISBLANK('Personnel Yr 4'!R12),'Personnel Yr 4'!R12=""),0,ROUND(('Personnel Yr 4'!R12),0))</f>
        <v>0</v>
      </c>
      <c r="G27" s="476">
        <f>IF(OR(ISBLANK('Personnel Yr 5'!R12),'Personnel Yr 5'!R12=""),0,ROUND(('Personnel Yr 5'!R12),0))</f>
        <v>0</v>
      </c>
      <c r="H27" s="476">
        <f>SUM(C27:G27)</f>
        <v>0</v>
      </c>
    </row>
    <row r="28" spans="1:13" ht="12.95" customHeight="1" x14ac:dyDescent="0.2">
      <c r="A28" s="474" t="s">
        <v>130</v>
      </c>
      <c r="B28" s="475"/>
      <c r="C28" s="476">
        <f>ROUND(('Personnel Yr 1'!R12),0)</f>
        <v>0</v>
      </c>
      <c r="D28" s="476">
        <f>IF(OR(ISBLANK('Personnel Yr 2'!Q12),'Personnel Yr 2'!Q12=""),0,ROUND(('Personnel Yr 2'!Q12),0))</f>
        <v>0</v>
      </c>
      <c r="E28" s="476">
        <f>IF(OR(ISBLANK('Personnel Yr 3'!Q12),'Personnel Yr 3'!Q12=""),0,ROUND(('Personnel Yr 3'!Q12),0))</f>
        <v>0</v>
      </c>
      <c r="F28" s="476">
        <f>IF(OR(ISBLANK('Personnel Yr 4'!Q12),'Personnel Yr 4'!Q12=""),0,ROUND(('Personnel Yr 4'!Q12),0))</f>
        <v>0</v>
      </c>
      <c r="G28" s="476">
        <f>IF(OR(ISBLANK('Personnel Yr 5'!Q12),'Personnel Yr 5'!Q12=""),0,ROUND(('Personnel Yr 5'!Q12),0))</f>
        <v>0</v>
      </c>
      <c r="H28" s="476">
        <f>SUM(C28:G28)</f>
        <v>0</v>
      </c>
    </row>
    <row r="29" spans="1:13" ht="12.95" customHeight="1" x14ac:dyDescent="0.2">
      <c r="A29" s="474" t="s">
        <v>131</v>
      </c>
      <c r="B29" s="477"/>
      <c r="C29" s="476">
        <f>ROUND(('Personnel Yr 1'!Q12),0)</f>
        <v>0</v>
      </c>
      <c r="D29" s="476">
        <f>IF(OR(ISBLANK('Personnel Yr 2'!P12),'Personnel Yr 2'!P12=""),0,ROUND(('Personnel Yr 2'!P12),0))</f>
        <v>0</v>
      </c>
      <c r="E29" s="476">
        <f>IF(OR(ISBLANK('Personnel Yr 3'!P12),'Personnel Yr 3'!P12=""),0,ROUND(('Personnel Yr 3'!P12),0))</f>
        <v>0</v>
      </c>
      <c r="F29" s="476">
        <f>IF(OR(ISBLANK('Personnel Yr 4'!P12),'Personnel Yr 4'!P12=""),0,ROUND(('Personnel Yr 4'!P12),0))</f>
        <v>0</v>
      </c>
      <c r="G29" s="476">
        <f>IF(OR(ISBLANK('Personnel Yr 5'!P12),'Personnel Yr 5'!P12=""),0,ROUND(('Personnel Yr 5'!P12),0))</f>
        <v>0</v>
      </c>
      <c r="H29" s="476">
        <f>SUM(C29:G29)</f>
        <v>0</v>
      </c>
    </row>
    <row r="30" spans="1:13" ht="12.95" customHeight="1" x14ac:dyDescent="0.25">
      <c r="A30" s="805" t="str">
        <f>CONCATENATE('Personnel Yr 1'!B13, IF(OR(ISBLANK('Personnel Yr 1'!B13),'Personnel Yr 1'!B13=""),""," "),'Personnel Yr 1'!C13, " ",'Personnel Yr 1'!D13,IF(OR(ISBLANK('Personnel Yr 1'!D13),'Personnel Yr 1'!D13=""),""," "),'Personnel Yr 1'!E13," ",'Personnel Yr 1'!F13)</f>
        <v xml:space="preserve">  </v>
      </c>
      <c r="B30" s="826"/>
      <c r="C30" s="478"/>
      <c r="D30" s="479"/>
      <c r="E30" s="479"/>
      <c r="F30" s="479"/>
      <c r="G30" s="479"/>
      <c r="H30" s="480"/>
    </row>
    <row r="31" spans="1:13" ht="12.95" customHeight="1" x14ac:dyDescent="0.2">
      <c r="A31" s="474" t="s">
        <v>69</v>
      </c>
      <c r="B31" s="475"/>
      <c r="C31" s="476">
        <f>ROUND(('Personnel Yr 1'!S13),0)</f>
        <v>0</v>
      </c>
      <c r="D31" s="476">
        <f>IF(OR(ISBLANK('Personnel Yr 2'!R13),'Personnel Yr 2'!R13=""),0,ROUND(('Personnel Yr 2'!R13),0))</f>
        <v>0</v>
      </c>
      <c r="E31" s="476">
        <f>IF(OR(ISBLANK('Personnel Yr 3'!R13),'Personnel Yr 3'!R13=""),0,ROUND(('Personnel Yr 3'!R13),0))</f>
        <v>0</v>
      </c>
      <c r="F31" s="476">
        <f>IF(OR(ISBLANK('Personnel Yr 4'!R13),'Personnel Yr 4'!R13=""),0,ROUND(('Personnel Yr 4'!R13),0))</f>
        <v>0</v>
      </c>
      <c r="G31" s="476">
        <f>IF(OR(ISBLANK('Personnel Yr 5'!R13),'Personnel Yr 5'!R13=""),0,ROUND(('Personnel Yr 5'!R13),0))</f>
        <v>0</v>
      </c>
      <c r="H31" s="476">
        <f>SUM(C31:G31)</f>
        <v>0</v>
      </c>
    </row>
    <row r="32" spans="1:13" ht="12.95" customHeight="1" x14ac:dyDescent="0.2">
      <c r="A32" s="474" t="s">
        <v>130</v>
      </c>
      <c r="B32" s="475"/>
      <c r="C32" s="476">
        <f>ROUND(('Personnel Yr 1'!R13),0)</f>
        <v>0</v>
      </c>
      <c r="D32" s="476">
        <f>IF(OR(ISBLANK('Personnel Yr 2'!Q13),'Personnel Yr 2'!Q13=""),0,ROUND(('Personnel Yr 2'!Q13),0))</f>
        <v>0</v>
      </c>
      <c r="E32" s="476">
        <f>IF(OR(ISBLANK('Personnel Yr 3'!Q13),'Personnel Yr 3'!Q13=""),0,ROUND(('Personnel Yr 3'!Q13),0))</f>
        <v>0</v>
      </c>
      <c r="F32" s="476">
        <f>IF(OR(ISBLANK('Personnel Yr 4'!Q13),'Personnel Yr 4'!Q13=""),0,ROUND(('Personnel Yr 4'!Q13),0))</f>
        <v>0</v>
      </c>
      <c r="G32" s="476">
        <f>IF(OR(ISBLANK('Personnel Yr 5'!Q13),'Personnel Yr 5'!Q13=""),0,ROUND(('Personnel Yr 5'!Q13),0))</f>
        <v>0</v>
      </c>
      <c r="H32" s="476">
        <f>SUM(C32:G32)</f>
        <v>0</v>
      </c>
    </row>
    <row r="33" spans="1:8" ht="12.95" customHeight="1" x14ac:dyDescent="0.2">
      <c r="A33" s="474" t="s">
        <v>131</v>
      </c>
      <c r="B33" s="477"/>
      <c r="C33" s="476">
        <f>ROUND(('Personnel Yr 1'!Q13),0)</f>
        <v>0</v>
      </c>
      <c r="D33" s="476">
        <f>IF(OR(ISBLANK('Personnel Yr 2'!P13),'Personnel Yr 2'!P13=""),0,ROUND(('Personnel Yr 2'!P13),0))</f>
        <v>0</v>
      </c>
      <c r="E33" s="476">
        <f>IF(OR(ISBLANK('Personnel Yr 3'!P13),'Personnel Yr 3'!P13=""),0,ROUND(('Personnel Yr 3'!P13),0))</f>
        <v>0</v>
      </c>
      <c r="F33" s="476">
        <f>IF(OR(ISBLANK('Personnel Yr 4'!P13),'Personnel Yr 4'!P13=""),0,ROUND(('Personnel Yr 4'!P13),0))</f>
        <v>0</v>
      </c>
      <c r="G33" s="476">
        <f>IF(OR(ISBLANK('Personnel Yr 5'!P13),'Personnel Yr 5'!P13=""),0,ROUND(('Personnel Yr 5'!P13),0))</f>
        <v>0</v>
      </c>
      <c r="H33" s="476">
        <f>SUM(C33:G33)</f>
        <v>0</v>
      </c>
    </row>
    <row r="34" spans="1:8" ht="12.95" customHeight="1" x14ac:dyDescent="0.25">
      <c r="A34" s="805" t="str">
        <f>CONCATENATE('Personnel Yr 1'!B14, IF(OR(ISBLANK('Personnel Yr 1'!B14),'Personnel Yr 1'!B14=""),""," "),'Personnel Yr 1'!C14, " ",'Personnel Yr 1'!D14,IF(OR(ISBLANK('Personnel Yr 1'!D14),'Personnel Yr 1'!D14=""),""," "),'Personnel Yr 1'!E14," ",'Personnel Yr 1'!F14)</f>
        <v xml:space="preserve">  </v>
      </c>
      <c r="B34" s="826"/>
      <c r="C34" s="478"/>
      <c r="D34" s="479"/>
      <c r="E34" s="479"/>
      <c r="F34" s="479"/>
      <c r="G34" s="479"/>
      <c r="H34" s="480"/>
    </row>
    <row r="35" spans="1:8" ht="12.95" customHeight="1" x14ac:dyDescent="0.2">
      <c r="A35" s="474" t="s">
        <v>69</v>
      </c>
      <c r="B35" s="475"/>
      <c r="C35" s="476">
        <f>ROUND(('Personnel Yr 1'!S14),0)</f>
        <v>0</v>
      </c>
      <c r="D35" s="476">
        <f>IF(OR(ISBLANK('Personnel Yr 2'!R14),'Personnel Yr 2'!R14=""),0,ROUND(('Personnel Yr 2'!R14),0))</f>
        <v>0</v>
      </c>
      <c r="E35" s="476">
        <f>IF(OR(ISBLANK('Personnel Yr 3'!R14),'Personnel Yr 3'!R14=""),0,ROUND(('Personnel Yr 3'!R14),0))</f>
        <v>0</v>
      </c>
      <c r="F35" s="476">
        <f>IF(OR(ISBLANK('Personnel Yr 4'!R14),'Personnel Yr 4'!R14=""),0,ROUND(('Personnel Yr 4'!R14),0))</f>
        <v>0</v>
      </c>
      <c r="G35" s="476">
        <f>IF(OR(ISBLANK('Personnel Yr 5'!R14),'Personnel Yr 5'!R14=""),0,ROUND(('Personnel Yr 5'!R14),0))</f>
        <v>0</v>
      </c>
      <c r="H35" s="476">
        <f t="shared" ref="H35:H40" si="0">SUM(C35:G35)</f>
        <v>0</v>
      </c>
    </row>
    <row r="36" spans="1:8" ht="12.95" customHeight="1" x14ac:dyDescent="0.2">
      <c r="A36" s="474" t="s">
        <v>130</v>
      </c>
      <c r="B36" s="475"/>
      <c r="C36" s="476">
        <f>ROUND(('Personnel Yr 1'!R14),0)</f>
        <v>0</v>
      </c>
      <c r="D36" s="476">
        <f>IF(OR(ISBLANK('Personnel Yr 2'!Q14),'Personnel Yr 2'!Q14=""),0,ROUND(('Personnel Yr 2'!Q14),0))</f>
        <v>0</v>
      </c>
      <c r="E36" s="476">
        <f>IF(OR(ISBLANK('Personnel Yr 3'!Q14),'Personnel Yr 3'!Q14=""),0,ROUND(('Personnel Yr 3'!Q14),0))</f>
        <v>0</v>
      </c>
      <c r="F36" s="476">
        <f>IF(OR(ISBLANK('Personnel Yr 4'!Q14),'Personnel Yr 4'!Q14=""),0,ROUND(('Personnel Yr 4'!Q14),0))</f>
        <v>0</v>
      </c>
      <c r="G36" s="476">
        <f>IF(OR(ISBLANK('Personnel Yr 5'!Q14),'Personnel Yr 5'!Q14=""),0,ROUND(('Personnel Yr 5'!Q14),0))</f>
        <v>0</v>
      </c>
      <c r="H36" s="476">
        <f t="shared" si="0"/>
        <v>0</v>
      </c>
    </row>
    <row r="37" spans="1:8" ht="12.95" customHeight="1" thickBot="1" x14ac:dyDescent="0.25">
      <c r="A37" s="484" t="s">
        <v>131</v>
      </c>
      <c r="B37" s="485"/>
      <c r="C37" s="486">
        <f>ROUND(('Personnel Yr 1'!Q14),0)</f>
        <v>0</v>
      </c>
      <c r="D37" s="486">
        <f>IF(OR(ISBLANK('Personnel Yr 2'!P14),'Personnel Yr 2'!P14=""),0,ROUND(('Personnel Yr 2'!P14),0))</f>
        <v>0</v>
      </c>
      <c r="E37" s="486">
        <f>IF(OR(ISBLANK('Personnel Yr 3'!P14),'Personnel Yr 3'!P14=""),0,ROUND(('Personnel Yr 3'!P14),0))</f>
        <v>0</v>
      </c>
      <c r="F37" s="486">
        <f>IF(OR(ISBLANK('Personnel Yr 4'!P14),'Personnel Yr 4'!P14=""),0,ROUND(('Personnel Yr 4'!P14),0))</f>
        <v>0</v>
      </c>
      <c r="G37" s="486">
        <f>IF(OR(ISBLANK('Personnel Yr 5'!P14),'Personnel Yr 5'!P14=""),0,ROUND(('Personnel Yr 5'!P14),0))</f>
        <v>0</v>
      </c>
      <c r="H37" s="486">
        <f t="shared" si="0"/>
        <v>0</v>
      </c>
    </row>
    <row r="38" spans="1:8" ht="14.45" customHeight="1" thickTop="1" x14ac:dyDescent="0.25">
      <c r="A38" s="830" t="s">
        <v>132</v>
      </c>
      <c r="B38" s="831"/>
      <c r="C38" s="488">
        <f t="shared" ref="C38:G40" si="1">SUM(C7,C11,C15,C19,C23,C27,C31,C35,C265)</f>
        <v>0</v>
      </c>
      <c r="D38" s="487">
        <f t="shared" si="1"/>
        <v>0</v>
      </c>
      <c r="E38" s="487">
        <f t="shared" si="1"/>
        <v>0</v>
      </c>
      <c r="F38" s="487">
        <f t="shared" si="1"/>
        <v>0</v>
      </c>
      <c r="G38" s="487">
        <f t="shared" si="1"/>
        <v>0</v>
      </c>
      <c r="H38" s="488">
        <f t="shared" si="0"/>
        <v>0</v>
      </c>
    </row>
    <row r="39" spans="1:8" ht="14.45" customHeight="1" x14ac:dyDescent="0.25">
      <c r="A39" s="775" t="s">
        <v>134</v>
      </c>
      <c r="B39" s="808"/>
      <c r="C39" s="490">
        <f t="shared" si="1"/>
        <v>0</v>
      </c>
      <c r="D39" s="489">
        <f t="shared" si="1"/>
        <v>0</v>
      </c>
      <c r="E39" s="489">
        <f t="shared" si="1"/>
        <v>0</v>
      </c>
      <c r="F39" s="489">
        <f t="shared" si="1"/>
        <v>0</v>
      </c>
      <c r="G39" s="489">
        <f t="shared" si="1"/>
        <v>0</v>
      </c>
      <c r="H39" s="490">
        <f t="shared" si="0"/>
        <v>0</v>
      </c>
    </row>
    <row r="40" spans="1:8" ht="14.45" customHeight="1" x14ac:dyDescent="0.25">
      <c r="A40" s="828" t="s">
        <v>136</v>
      </c>
      <c r="B40" s="829"/>
      <c r="C40" s="490">
        <f t="shared" si="1"/>
        <v>0</v>
      </c>
      <c r="D40" s="489">
        <f t="shared" si="1"/>
        <v>0</v>
      </c>
      <c r="E40" s="489">
        <f t="shared" si="1"/>
        <v>0</v>
      </c>
      <c r="F40" s="489">
        <f t="shared" si="1"/>
        <v>0</v>
      </c>
      <c r="G40" s="489">
        <f t="shared" si="1"/>
        <v>0</v>
      </c>
      <c r="H40" s="490">
        <f t="shared" si="0"/>
        <v>0</v>
      </c>
    </row>
    <row r="41" spans="1:8" ht="14.45" customHeight="1" thickBot="1" x14ac:dyDescent="0.3">
      <c r="A41" s="824" t="s">
        <v>137</v>
      </c>
      <c r="B41" s="825"/>
      <c r="C41" s="491">
        <f>SUM(C38,C39,C40)</f>
        <v>0</v>
      </c>
      <c r="D41" s="491">
        <f>SUM(D38,D39,D40)</f>
        <v>0</v>
      </c>
      <c r="E41" s="491">
        <f>SUM(E38,E39,E40)</f>
        <v>0</v>
      </c>
      <c r="F41" s="491">
        <f>SUM(F38,F39,F40)</f>
        <v>0</v>
      </c>
      <c r="G41" s="491">
        <f>SUM(G38,G39,G40)</f>
        <v>0</v>
      </c>
      <c r="H41" s="491">
        <f>SUM(C41:G41)</f>
        <v>0</v>
      </c>
    </row>
    <row r="42" spans="1:8" ht="13.5" thickTop="1" x14ac:dyDescent="0.2">
      <c r="A42" s="93"/>
      <c r="B42" s="94"/>
      <c r="C42" s="94"/>
      <c r="D42" s="94"/>
      <c r="E42" s="94"/>
      <c r="F42" s="94"/>
      <c r="G42" s="94"/>
      <c r="H42" s="94"/>
    </row>
    <row r="43" spans="1:8" ht="15" hidden="1" x14ac:dyDescent="0.25">
      <c r="A43" s="823" t="s">
        <v>138</v>
      </c>
      <c r="B43" s="804"/>
      <c r="C43" s="95"/>
      <c r="D43" s="95"/>
      <c r="E43" s="95"/>
      <c r="F43" s="95"/>
      <c r="G43" s="95"/>
      <c r="H43" s="95"/>
    </row>
    <row r="44" spans="1:8" hidden="1" x14ac:dyDescent="0.2">
      <c r="A44" s="780" t="str">
        <f>CONCATENATE('Personnel Yr 1'!B7, IF(OR(ISBLANK('Personnel Yr 1'!B7),'Personnel Yr 1'!B7=""),""," "),'Personnel Yr 1'!C7, " ",'Personnel Yr 1'!D7,IF(OR(ISBLANK('Personnel Yr 1'!D7),'Personnel Yr 1'!D7=""),""," "),'Personnel Yr 1'!E7," ",'Personnel Yr 1'!F7)</f>
        <v xml:space="preserve">    </v>
      </c>
      <c r="B44" s="780"/>
      <c r="C44" s="96" t="s">
        <v>35</v>
      </c>
      <c r="D44" s="96" t="s">
        <v>36</v>
      </c>
      <c r="E44" s="96" t="s">
        <v>37</v>
      </c>
      <c r="F44" s="96" t="s">
        <v>38</v>
      </c>
      <c r="G44" s="96" t="s">
        <v>39</v>
      </c>
      <c r="H44" s="83" t="s">
        <v>40</v>
      </c>
    </row>
    <row r="45" spans="1:8" hidden="1" x14ac:dyDescent="0.2">
      <c r="A45" s="97" t="str">
        <f>IF(ISBLANK('Personnel Yr 1'!G7),"",'Personnel Yr 1'!G7)</f>
        <v/>
      </c>
      <c r="B45" s="98" t="s">
        <v>139</v>
      </c>
      <c r="C45" s="99">
        <f>SUM('Personnel Yr 1'!K7)</f>
        <v>0</v>
      </c>
      <c r="D45" s="99">
        <f>SUM('Personnel Yr 2'!K7)</f>
        <v>0</v>
      </c>
      <c r="E45" s="99">
        <f>SUM('Personnel Yr 3'!K7)</f>
        <v>0</v>
      </c>
      <c r="F45" s="99">
        <f>SUM('Personnel Yr 4'!K7)</f>
        <v>0</v>
      </c>
      <c r="G45" s="99">
        <f>SUM('Personnel Yr 5'!K7)</f>
        <v>0</v>
      </c>
      <c r="H45" s="99">
        <f>SUM(C45:G45)</f>
        <v>0</v>
      </c>
    </row>
    <row r="46" spans="1:8" hidden="1" x14ac:dyDescent="0.2">
      <c r="A46" s="100"/>
      <c r="B46" s="143" t="s">
        <v>140</v>
      </c>
      <c r="C46" s="144">
        <f>C45/3.5</f>
        <v>0</v>
      </c>
      <c r="D46" s="144">
        <f>D45/3.5</f>
        <v>0</v>
      </c>
      <c r="E46" s="144">
        <f>E45/3.5</f>
        <v>0</v>
      </c>
      <c r="F46" s="144">
        <f>F45/3.5</f>
        <v>0</v>
      </c>
      <c r="G46" s="144">
        <f>G45/3.5</f>
        <v>0</v>
      </c>
      <c r="H46" s="145"/>
    </row>
    <row r="47" spans="1:8" hidden="1" x14ac:dyDescent="0.2">
      <c r="A47" s="101"/>
      <c r="B47" s="102" t="s">
        <v>141</v>
      </c>
      <c r="C47" s="99">
        <f>SUM('Personnel Yr 1'!J7)</f>
        <v>0</v>
      </c>
      <c r="D47" s="99">
        <f>SUM('Personnel Yr 2'!J7)</f>
        <v>0</v>
      </c>
      <c r="E47" s="99">
        <f>SUM('Personnel Yr 3'!J7)</f>
        <v>0</v>
      </c>
      <c r="F47" s="99">
        <f>SUM('Personnel Yr 4'!J7)</f>
        <v>0</v>
      </c>
      <c r="G47" s="99">
        <f>SUM('Personnel Yr 5'!J7)</f>
        <v>0</v>
      </c>
      <c r="H47" s="99">
        <f>SUM(C47:G47)</f>
        <v>0</v>
      </c>
    </row>
    <row r="48" spans="1:8" hidden="1" x14ac:dyDescent="0.2">
      <c r="A48" s="101"/>
      <c r="B48" s="146" t="s">
        <v>142</v>
      </c>
      <c r="C48" s="147">
        <f>C47/8.5</f>
        <v>0</v>
      </c>
      <c r="D48" s="147">
        <f>D47/8.5</f>
        <v>0</v>
      </c>
      <c r="E48" s="147">
        <f>E47/8.5</f>
        <v>0</v>
      </c>
      <c r="F48" s="147">
        <f>F47/8.5</f>
        <v>0</v>
      </c>
      <c r="G48" s="147">
        <f>G47/8.5</f>
        <v>0</v>
      </c>
      <c r="H48" s="148"/>
    </row>
    <row r="49" spans="1:8" hidden="1" x14ac:dyDescent="0.2">
      <c r="A49" s="101"/>
      <c r="B49" s="104" t="s">
        <v>143</v>
      </c>
      <c r="C49" s="99">
        <f>SUM('Personnel Yr 1'!I7)</f>
        <v>0</v>
      </c>
      <c r="D49" s="99">
        <f>SUM('Personnel Yr 2'!I7)</f>
        <v>0</v>
      </c>
      <c r="E49" s="99">
        <f>SUM('Personnel Yr 3'!I7)</f>
        <v>0</v>
      </c>
      <c r="F49" s="99">
        <f>SUM('Personnel Yr 4'!I7)</f>
        <v>0</v>
      </c>
      <c r="G49" s="99">
        <f>SUM('Personnel Yr 5'!I7)</f>
        <v>0</v>
      </c>
      <c r="H49" s="99">
        <f>SUM(C49:G49)</f>
        <v>0</v>
      </c>
    </row>
    <row r="50" spans="1:8" hidden="1" x14ac:dyDescent="0.2">
      <c r="A50" s="101"/>
      <c r="B50" s="146" t="s">
        <v>144</v>
      </c>
      <c r="C50" s="147">
        <f>C49/12</f>
        <v>0</v>
      </c>
      <c r="D50" s="147">
        <f>D49/12</f>
        <v>0</v>
      </c>
      <c r="E50" s="147">
        <f>E49/12</f>
        <v>0</v>
      </c>
      <c r="F50" s="147">
        <f>F49/12</f>
        <v>0</v>
      </c>
      <c r="G50" s="147">
        <f>G49/12</f>
        <v>0</v>
      </c>
      <c r="H50" s="149"/>
    </row>
    <row r="51" spans="1:8" hidden="1" x14ac:dyDescent="0.2">
      <c r="A51" s="777" t="str">
        <f>CONCATENATE('Personnel Yr 1'!B8, IF(OR(ISBLANK('Personnel Yr 1'!B8),'Personnel Yr 1'!B8=""),""," "),'Personnel Yr 1'!C8, " ",'Personnel Yr 1'!D8,IF(OR(ISBLANK('Personnel Yr 1'!D8),'Personnel Yr 1'!D8=""),""," "),'Personnel Yr 1'!E8," ",'Personnel Yr 1'!F8)</f>
        <v xml:space="preserve">  </v>
      </c>
      <c r="B51" s="778"/>
      <c r="C51" s="105"/>
      <c r="D51" s="105"/>
      <c r="E51" s="105"/>
      <c r="F51" s="105"/>
      <c r="G51" s="105"/>
      <c r="H51" s="103"/>
    </row>
    <row r="52" spans="1:8" hidden="1" x14ac:dyDescent="0.2">
      <c r="A52" s="97" t="str">
        <f>IF(ISBLANK('Personnel Yr 1'!G8),"",'Personnel Yr 1'!G8)</f>
        <v/>
      </c>
      <c r="B52" s="98" t="s">
        <v>139</v>
      </c>
      <c r="C52" s="99">
        <f>SUM('Personnel Yr 1'!K8)</f>
        <v>0</v>
      </c>
      <c r="D52" s="99">
        <f>SUM('Personnel Yr 2'!K8)</f>
        <v>0</v>
      </c>
      <c r="E52" s="99">
        <f>SUM('Personnel Yr 3'!K8)</f>
        <v>0</v>
      </c>
      <c r="F52" s="99">
        <f>SUM('Personnel Yr 4'!K8)</f>
        <v>0</v>
      </c>
      <c r="G52" s="99">
        <f>SUM('Personnel Yr 5'!K8)</f>
        <v>0</v>
      </c>
      <c r="H52" s="99">
        <f>SUM(C52:G52)</f>
        <v>0</v>
      </c>
    </row>
    <row r="53" spans="1:8" hidden="1" x14ac:dyDescent="0.2">
      <c r="A53" s="100"/>
      <c r="B53" s="150" t="s">
        <v>140</v>
      </c>
      <c r="C53" s="144">
        <f>C52/3.5</f>
        <v>0</v>
      </c>
      <c r="D53" s="144">
        <f>D52/3.5</f>
        <v>0</v>
      </c>
      <c r="E53" s="144">
        <f>E52/3.5</f>
        <v>0</v>
      </c>
      <c r="F53" s="144">
        <f>F52/3.5</f>
        <v>0</v>
      </c>
      <c r="G53" s="144">
        <f>G52/3.5</f>
        <v>0</v>
      </c>
      <c r="H53" s="148"/>
    </row>
    <row r="54" spans="1:8" hidden="1" x14ac:dyDescent="0.2">
      <c r="A54" s="101"/>
      <c r="B54" s="102" t="s">
        <v>141</v>
      </c>
      <c r="C54" s="99">
        <f>SUM('Personnel Yr 1'!J8)</f>
        <v>0</v>
      </c>
      <c r="D54" s="99">
        <f>SUM('Personnel Yr 2'!J8)</f>
        <v>0</v>
      </c>
      <c r="E54" s="99">
        <f>SUM('Personnel Yr 3'!J8)</f>
        <v>0</v>
      </c>
      <c r="F54" s="99">
        <f>SUM('Personnel Yr 4'!J8)</f>
        <v>0</v>
      </c>
      <c r="G54" s="99">
        <f>SUM('Personnel Yr 5'!J8)</f>
        <v>0</v>
      </c>
      <c r="H54" s="99">
        <f>SUM(C54:G54)</f>
        <v>0</v>
      </c>
    </row>
    <row r="55" spans="1:8" hidden="1" x14ac:dyDescent="0.2">
      <c r="A55" s="101"/>
      <c r="B55" s="146" t="s">
        <v>142</v>
      </c>
      <c r="C55" s="147">
        <f>C54/8.5</f>
        <v>0</v>
      </c>
      <c r="D55" s="147">
        <f>D54/8.5</f>
        <v>0</v>
      </c>
      <c r="E55" s="147">
        <f>E54/8.5</f>
        <v>0</v>
      </c>
      <c r="F55" s="147">
        <f>F54/8.5</f>
        <v>0</v>
      </c>
      <c r="G55" s="147">
        <f>G54/8.5</f>
        <v>0</v>
      </c>
      <c r="H55" s="148"/>
    </row>
    <row r="56" spans="1:8" hidden="1" x14ac:dyDescent="0.2">
      <c r="A56" s="106"/>
      <c r="B56" s="104" t="s">
        <v>143</v>
      </c>
      <c r="C56" s="99">
        <f>SUM('Personnel Yr 1'!I8)</f>
        <v>0</v>
      </c>
      <c r="D56" s="99">
        <f>SUM('Personnel Yr 2'!I8)</f>
        <v>0</v>
      </c>
      <c r="E56" s="99">
        <f>SUM('Personnel Yr 3'!I8)</f>
        <v>0</v>
      </c>
      <c r="F56" s="99">
        <f>SUM('Personnel Yr 4'!I8)</f>
        <v>0</v>
      </c>
      <c r="G56" s="99">
        <f>SUM('Personnel Yr 5'!I8)</f>
        <v>0</v>
      </c>
      <c r="H56" s="99">
        <f>SUM(C56:G56)</f>
        <v>0</v>
      </c>
    </row>
    <row r="57" spans="1:8" hidden="1" x14ac:dyDescent="0.2">
      <c r="A57" s="101"/>
      <c r="B57" s="146" t="s">
        <v>144</v>
      </c>
      <c r="C57" s="147">
        <f>C56/12</f>
        <v>0</v>
      </c>
      <c r="D57" s="147">
        <f>D56/12</f>
        <v>0</v>
      </c>
      <c r="E57" s="147">
        <f>E56/12</f>
        <v>0</v>
      </c>
      <c r="F57" s="147">
        <f>F56/12</f>
        <v>0</v>
      </c>
      <c r="G57" s="147">
        <f>G56/12</f>
        <v>0</v>
      </c>
      <c r="H57" s="149"/>
    </row>
    <row r="58" spans="1:8" hidden="1" x14ac:dyDescent="0.2">
      <c r="A58" s="777" t="str">
        <f>CONCATENATE('Personnel Yr 1'!B9, IF(OR(ISBLANK('Personnel Yr 1'!B9),'Personnel Yr 1'!B9=""),""," "),'Personnel Yr 1'!C9, " ",'Personnel Yr 1'!D9,IF(OR(ISBLANK('Personnel Yr 1'!D9),'Personnel Yr 1'!D9=""),""," "),'Personnel Yr 1'!E9," ",'Personnel Yr 1'!F9)</f>
        <v xml:space="preserve">  </v>
      </c>
      <c r="B58" s="778"/>
      <c r="C58" s="105"/>
      <c r="D58" s="105"/>
      <c r="E58" s="105"/>
      <c r="F58" s="105"/>
      <c r="G58" s="105"/>
      <c r="H58" s="103"/>
    </row>
    <row r="59" spans="1:8" hidden="1" x14ac:dyDescent="0.2">
      <c r="A59" s="100" t="str">
        <f>IF(ISBLANK('Personnel Yr 1'!G9),"",'Personnel Yr 1'!G9)</f>
        <v/>
      </c>
      <c r="B59" s="98" t="s">
        <v>139</v>
      </c>
      <c r="C59" s="99">
        <f>SUM('Personnel Yr 1'!K9)</f>
        <v>0</v>
      </c>
      <c r="D59" s="99">
        <f>SUM('Personnel Yr 2'!K9)</f>
        <v>0</v>
      </c>
      <c r="E59" s="99">
        <f>SUM('Personnel Yr 3'!K9)</f>
        <v>0</v>
      </c>
      <c r="F59" s="99">
        <f>SUM('Personnel Yr 4'!K9)</f>
        <v>0</v>
      </c>
      <c r="G59" s="99">
        <f>SUM('Personnel Yr 5'!K9)</f>
        <v>0</v>
      </c>
      <c r="H59" s="99">
        <f>SUM(C59:G59)</f>
        <v>0</v>
      </c>
    </row>
    <row r="60" spans="1:8" hidden="1" x14ac:dyDescent="0.2">
      <c r="A60" s="100"/>
      <c r="B60" s="150" t="s">
        <v>140</v>
      </c>
      <c r="C60" s="144">
        <f>C59/3.5</f>
        <v>0</v>
      </c>
      <c r="D60" s="144">
        <f>D59/3.5</f>
        <v>0</v>
      </c>
      <c r="E60" s="144">
        <f>E59/3.5</f>
        <v>0</v>
      </c>
      <c r="F60" s="144">
        <f>F59/3.5</f>
        <v>0</v>
      </c>
      <c r="G60" s="144">
        <f>G59/3.5</f>
        <v>0</v>
      </c>
      <c r="H60" s="148"/>
    </row>
    <row r="61" spans="1:8" hidden="1" x14ac:dyDescent="0.2">
      <c r="A61" s="101"/>
      <c r="B61" s="102" t="s">
        <v>141</v>
      </c>
      <c r="C61" s="99">
        <f>SUM('Personnel Yr 1'!J9)</f>
        <v>0</v>
      </c>
      <c r="D61" s="99">
        <f>SUM('Personnel Yr 2'!J9)</f>
        <v>0</v>
      </c>
      <c r="E61" s="99">
        <f>SUM('Personnel Yr 3'!J9)</f>
        <v>0</v>
      </c>
      <c r="F61" s="99">
        <f>SUM('Personnel Yr 4'!J9)</f>
        <v>0</v>
      </c>
      <c r="G61" s="99">
        <f>SUM('Personnel Yr 5'!J9)</f>
        <v>0</v>
      </c>
      <c r="H61" s="99">
        <f>SUM(C61:G61)</f>
        <v>0</v>
      </c>
    </row>
    <row r="62" spans="1:8" hidden="1" x14ac:dyDescent="0.2">
      <c r="A62" s="101"/>
      <c r="B62" s="146" t="s">
        <v>142</v>
      </c>
      <c r="C62" s="147">
        <f>C61/8.5</f>
        <v>0</v>
      </c>
      <c r="D62" s="147">
        <f>D61/8.5</f>
        <v>0</v>
      </c>
      <c r="E62" s="147">
        <f>E61/8.5</f>
        <v>0</v>
      </c>
      <c r="F62" s="147">
        <f>F61/8.5</f>
        <v>0</v>
      </c>
      <c r="G62" s="147">
        <f>G61/8.5</f>
        <v>0</v>
      </c>
      <c r="H62" s="148"/>
    </row>
    <row r="63" spans="1:8" hidden="1" x14ac:dyDescent="0.2">
      <c r="A63" s="106"/>
      <c r="B63" s="104" t="s">
        <v>143</v>
      </c>
      <c r="C63" s="99">
        <f>SUM('Personnel Yr 1'!I9)</f>
        <v>0</v>
      </c>
      <c r="D63" s="99">
        <f>SUM('Personnel Yr 2'!I9)</f>
        <v>0</v>
      </c>
      <c r="E63" s="99">
        <f>SUM('Personnel Yr 3'!I9)</f>
        <v>0</v>
      </c>
      <c r="F63" s="99">
        <f>SUM('Personnel Yr 4'!I9)</f>
        <v>0</v>
      </c>
      <c r="G63" s="99">
        <f>SUM('Personnel Yr 5'!I9)</f>
        <v>0</v>
      </c>
      <c r="H63" s="99">
        <f>SUM(C63:G63)</f>
        <v>0</v>
      </c>
    </row>
    <row r="64" spans="1:8" hidden="1" x14ac:dyDescent="0.2">
      <c r="A64" s="101"/>
      <c r="B64" s="146" t="s">
        <v>144</v>
      </c>
      <c r="C64" s="147">
        <f>C63/12</f>
        <v>0</v>
      </c>
      <c r="D64" s="147">
        <f>D63/12</f>
        <v>0</v>
      </c>
      <c r="E64" s="147">
        <f>E63/12</f>
        <v>0</v>
      </c>
      <c r="F64" s="147">
        <f>F63/12</f>
        <v>0</v>
      </c>
      <c r="G64" s="147">
        <f>G63/12</f>
        <v>0</v>
      </c>
      <c r="H64" s="149"/>
    </row>
    <row r="65" spans="1:8" hidden="1" x14ac:dyDescent="0.2">
      <c r="A65" s="777" t="str">
        <f>CONCATENATE('Personnel Yr 1'!B10, IF(OR(ISBLANK('Personnel Yr 1'!B10),'Personnel Yr 1'!B10=""),""," "),'Personnel Yr 1'!C10, " ",'Personnel Yr 1'!D10,IF(OR(ISBLANK('Personnel Yr 1'!D10),'Personnel Yr 1'!D10=""),""," "),'Personnel Yr 1'!E10," ",'Personnel Yr 1'!F10)</f>
        <v xml:space="preserve">  </v>
      </c>
      <c r="B65" s="778"/>
      <c r="C65" s="105"/>
      <c r="D65" s="105"/>
      <c r="E65" s="105"/>
      <c r="F65" s="105"/>
      <c r="G65" s="105"/>
      <c r="H65" s="103"/>
    </row>
    <row r="66" spans="1:8" hidden="1" x14ac:dyDescent="0.2">
      <c r="A66" s="100" t="str">
        <f>IF(ISBLANK('Personnel Yr 1'!G10),"",'Personnel Yr 1'!G10)</f>
        <v/>
      </c>
      <c r="B66" s="98" t="s">
        <v>139</v>
      </c>
      <c r="C66" s="99">
        <f>SUM('Personnel Yr 1'!K10)</f>
        <v>0</v>
      </c>
      <c r="D66" s="99">
        <f>SUM('Personnel Yr 2'!K10)</f>
        <v>0</v>
      </c>
      <c r="E66" s="99">
        <f>SUM('Personnel Yr 3'!K10)</f>
        <v>0</v>
      </c>
      <c r="F66" s="99">
        <f>SUM('Personnel Yr 4'!K10)</f>
        <v>0</v>
      </c>
      <c r="G66" s="99">
        <f>SUM('Personnel Yr 5'!K10)</f>
        <v>0</v>
      </c>
      <c r="H66" s="99">
        <f>SUM(C66:G66)</f>
        <v>0</v>
      </c>
    </row>
    <row r="67" spans="1:8" hidden="1" x14ac:dyDescent="0.2">
      <c r="A67" s="100"/>
      <c r="B67" s="150" t="s">
        <v>140</v>
      </c>
      <c r="C67" s="144">
        <f>C66/3.5</f>
        <v>0</v>
      </c>
      <c r="D67" s="144">
        <f>D66/3.5</f>
        <v>0</v>
      </c>
      <c r="E67" s="144">
        <f>E66/3.5</f>
        <v>0</v>
      </c>
      <c r="F67" s="144">
        <f>F66/3.5</f>
        <v>0</v>
      </c>
      <c r="G67" s="144">
        <f>G66/3.5</f>
        <v>0</v>
      </c>
      <c r="H67" s="148"/>
    </row>
    <row r="68" spans="1:8" hidden="1" x14ac:dyDescent="0.2">
      <c r="A68" s="101"/>
      <c r="B68" s="102" t="s">
        <v>141</v>
      </c>
      <c r="C68" s="99">
        <f>SUM('Personnel Yr 1'!J10)</f>
        <v>0</v>
      </c>
      <c r="D68" s="99">
        <f>SUM('Personnel Yr 2'!J10)</f>
        <v>0</v>
      </c>
      <c r="E68" s="99">
        <f>SUM('Personnel Yr 3'!J10)</f>
        <v>0</v>
      </c>
      <c r="F68" s="99">
        <f>SUM('Personnel Yr 4'!J10)</f>
        <v>0</v>
      </c>
      <c r="G68" s="99">
        <f>SUM('Personnel Yr 5'!J10)</f>
        <v>0</v>
      </c>
      <c r="H68" s="99">
        <f>SUM(C68:G68)</f>
        <v>0</v>
      </c>
    </row>
    <row r="69" spans="1:8" hidden="1" x14ac:dyDescent="0.2">
      <c r="A69" s="101"/>
      <c r="B69" s="146" t="s">
        <v>142</v>
      </c>
      <c r="C69" s="147">
        <f>C68/8.5</f>
        <v>0</v>
      </c>
      <c r="D69" s="147">
        <f>D68/8.5</f>
        <v>0</v>
      </c>
      <c r="E69" s="147">
        <f>E68/8.5</f>
        <v>0</v>
      </c>
      <c r="F69" s="147">
        <f>F68/8.5</f>
        <v>0</v>
      </c>
      <c r="G69" s="147">
        <f>G68/8.5</f>
        <v>0</v>
      </c>
      <c r="H69" s="148"/>
    </row>
    <row r="70" spans="1:8" hidden="1" x14ac:dyDescent="0.2">
      <c r="A70" s="106"/>
      <c r="B70" s="104" t="s">
        <v>143</v>
      </c>
      <c r="C70" s="99">
        <f>SUM('Personnel Yr 1'!I10)</f>
        <v>0</v>
      </c>
      <c r="D70" s="99">
        <f>SUM('Personnel Yr 2'!I10)</f>
        <v>0</v>
      </c>
      <c r="E70" s="99">
        <f>SUM('Personnel Yr 3'!I10)</f>
        <v>0</v>
      </c>
      <c r="F70" s="99">
        <f>SUM('Personnel Yr 4'!I10)</f>
        <v>0</v>
      </c>
      <c r="G70" s="99">
        <f>SUM('Personnel Yr 5'!I10)</f>
        <v>0</v>
      </c>
      <c r="H70" s="99">
        <f>SUM(C70:G70)</f>
        <v>0</v>
      </c>
    </row>
    <row r="71" spans="1:8" hidden="1" x14ac:dyDescent="0.2">
      <c r="A71" s="101"/>
      <c r="B71" s="146" t="s">
        <v>144</v>
      </c>
      <c r="C71" s="147">
        <f>C70/12</f>
        <v>0</v>
      </c>
      <c r="D71" s="147">
        <f>D70/12</f>
        <v>0</v>
      </c>
      <c r="E71" s="147">
        <f>E70/12</f>
        <v>0</v>
      </c>
      <c r="F71" s="147">
        <f>F70/12</f>
        <v>0</v>
      </c>
      <c r="G71" s="147">
        <f>G70/12</f>
        <v>0</v>
      </c>
      <c r="H71" s="149"/>
    </row>
    <row r="72" spans="1:8" hidden="1" x14ac:dyDescent="0.2">
      <c r="A72" s="777" t="str">
        <f>CONCATENATE('Personnel Yr 1'!B11, IF(OR(ISBLANK('Personnel Yr 1'!B11),'Personnel Yr 1'!B11=""),""," "),'Personnel Yr 1'!C11, " ",'Personnel Yr 1'!D11,IF(OR(ISBLANK('Personnel Yr 1'!D11),'Personnel Yr 1'!D11=""),""," "),'Personnel Yr 1'!E11," ",'Personnel Yr 1'!F11)</f>
        <v xml:space="preserve">  </v>
      </c>
      <c r="B72" s="778"/>
      <c r="C72" s="105"/>
      <c r="D72" s="105"/>
      <c r="E72" s="105"/>
      <c r="F72" s="105"/>
      <c r="G72" s="105"/>
      <c r="H72" s="103"/>
    </row>
    <row r="73" spans="1:8" ht="12.75" hidden="1" customHeight="1" x14ac:dyDescent="0.2">
      <c r="A73" s="100" t="str">
        <f>IF(ISBLANK('Personnel Yr 1'!G11),"",'Personnel Yr 1'!G11)</f>
        <v/>
      </c>
      <c r="B73" s="98" t="s">
        <v>139</v>
      </c>
      <c r="C73" s="99">
        <f>SUM('Personnel Yr 1'!K11)</f>
        <v>0</v>
      </c>
      <c r="D73" s="99">
        <f>SUM('Personnel Yr 2'!K11)</f>
        <v>0</v>
      </c>
      <c r="E73" s="99">
        <f>SUM('Personnel Yr 3'!K11)</f>
        <v>0</v>
      </c>
      <c r="F73" s="99">
        <f>SUM('Personnel Yr 4'!K11)</f>
        <v>0</v>
      </c>
      <c r="G73" s="99">
        <f>SUM('Personnel Yr 5'!K11)</f>
        <v>0</v>
      </c>
      <c r="H73" s="99">
        <f>SUM(C73:G73)</f>
        <v>0</v>
      </c>
    </row>
    <row r="74" spans="1:8" ht="12.75" hidden="1" customHeight="1" x14ac:dyDescent="0.2">
      <c r="A74" s="100"/>
      <c r="B74" s="150" t="s">
        <v>140</v>
      </c>
      <c r="C74" s="144">
        <f>C73/3.5</f>
        <v>0</v>
      </c>
      <c r="D74" s="144">
        <f>D73/3.5</f>
        <v>0</v>
      </c>
      <c r="E74" s="144">
        <f>E73/3.5</f>
        <v>0</v>
      </c>
      <c r="F74" s="144">
        <f>F73/3.5</f>
        <v>0</v>
      </c>
      <c r="G74" s="144">
        <f>G73/3.5</f>
        <v>0</v>
      </c>
      <c r="H74" s="148"/>
    </row>
    <row r="75" spans="1:8" hidden="1" x14ac:dyDescent="0.2">
      <c r="A75" s="101"/>
      <c r="B75" s="102" t="s">
        <v>141</v>
      </c>
      <c r="C75" s="99">
        <f>'Personnel Yr 1'!J11</f>
        <v>0</v>
      </c>
      <c r="D75" s="99">
        <f>SUM('Personnel Yr 2'!J11)</f>
        <v>0</v>
      </c>
      <c r="E75" s="99">
        <f>SUM('Personnel Yr 3'!J11)</f>
        <v>0</v>
      </c>
      <c r="F75" s="99">
        <f>SUM('Personnel Yr 4'!J11)</f>
        <v>0</v>
      </c>
      <c r="G75" s="99">
        <f>SUM('Personnel Yr 5'!J11)</f>
        <v>0</v>
      </c>
      <c r="H75" s="99">
        <f>SUM(C75:G75)</f>
        <v>0</v>
      </c>
    </row>
    <row r="76" spans="1:8" hidden="1" x14ac:dyDescent="0.2">
      <c r="A76" s="101"/>
      <c r="B76" s="146" t="s">
        <v>142</v>
      </c>
      <c r="C76" s="147">
        <f>C75/8.5</f>
        <v>0</v>
      </c>
      <c r="D76" s="147">
        <f>D75/8.5</f>
        <v>0</v>
      </c>
      <c r="E76" s="147">
        <f>E75/8.5</f>
        <v>0</v>
      </c>
      <c r="F76" s="147">
        <f>F75/8.5</f>
        <v>0</v>
      </c>
      <c r="G76" s="147">
        <f>G75/8.5</f>
        <v>0</v>
      </c>
      <c r="H76" s="148"/>
    </row>
    <row r="77" spans="1:8" hidden="1" x14ac:dyDescent="0.2">
      <c r="A77" s="106"/>
      <c r="B77" s="104" t="s">
        <v>143</v>
      </c>
      <c r="C77" s="99">
        <f>SUM('Personnel Yr 1'!I11)</f>
        <v>0</v>
      </c>
      <c r="D77" s="99">
        <f>SUM('Personnel Yr 2'!I11)</f>
        <v>0</v>
      </c>
      <c r="E77" s="99">
        <f>SUM('Personnel Yr 3'!I11)</f>
        <v>0</v>
      </c>
      <c r="F77" s="99">
        <f>SUM('Personnel Yr 4'!I11)</f>
        <v>0</v>
      </c>
      <c r="G77" s="99">
        <f>SUM('Personnel Yr 5'!I11)</f>
        <v>0</v>
      </c>
      <c r="H77" s="99">
        <f>SUM(C77:G77)</f>
        <v>0</v>
      </c>
    </row>
    <row r="78" spans="1:8" hidden="1" x14ac:dyDescent="0.2">
      <c r="A78" s="125"/>
      <c r="B78" s="146" t="s">
        <v>144</v>
      </c>
      <c r="C78" s="147">
        <f>C77/12</f>
        <v>0</v>
      </c>
      <c r="D78" s="147">
        <f>D77/12</f>
        <v>0</v>
      </c>
      <c r="E78" s="147">
        <f>E77/12</f>
        <v>0</v>
      </c>
      <c r="F78" s="147">
        <f>F77/12</f>
        <v>0</v>
      </c>
      <c r="G78" s="147">
        <f>G77/12</f>
        <v>0</v>
      </c>
      <c r="H78" s="149"/>
    </row>
    <row r="79" spans="1:8" hidden="1" x14ac:dyDescent="0.2">
      <c r="A79" s="827" t="str">
        <f>CONCATENATE('Personnel Yr 1'!B12, IF(OR(ISBLANK('Personnel Yr 1'!B12),'Personnel Yr 1'!B12=""),""," "),'Personnel Yr 1'!C12, " ",'Personnel Yr 1'!D12,IF(OR(ISBLANK('Personnel Yr 1'!D12),'Personnel Yr 1'!D12=""),""," "),'Personnel Yr 1'!E12," ",'Personnel Yr 1'!F12)</f>
        <v xml:space="preserve">  </v>
      </c>
      <c r="B79" s="780"/>
      <c r="C79" s="105"/>
      <c r="D79" s="105"/>
      <c r="E79" s="105"/>
      <c r="F79" s="105"/>
      <c r="G79" s="105"/>
      <c r="H79" s="103"/>
    </row>
    <row r="80" spans="1:8" ht="12.75" hidden="1" customHeight="1" x14ac:dyDescent="0.2">
      <c r="A80" s="97" t="str">
        <f>IF(ISBLANK('Personnel Yr 1'!G12),"",'Personnel Yr 1'!G12)</f>
        <v/>
      </c>
      <c r="B80" s="98" t="s">
        <v>139</v>
      </c>
      <c r="C80" s="99">
        <f>SUM('Personnel Yr 1'!K12)</f>
        <v>0</v>
      </c>
      <c r="D80" s="99">
        <f>SUM('Personnel Yr 2'!K12)</f>
        <v>0</v>
      </c>
      <c r="E80" s="99">
        <f>SUM('Personnel Yr 3'!K12)</f>
        <v>0</v>
      </c>
      <c r="F80" s="99">
        <f>SUM('Personnel Yr 4'!K12)</f>
        <v>0</v>
      </c>
      <c r="G80" s="99">
        <f>SUM('Personnel Yr 5'!K12)</f>
        <v>0</v>
      </c>
      <c r="H80" s="99">
        <f>SUM(C80:G80)</f>
        <v>0</v>
      </c>
    </row>
    <row r="81" spans="1:8" ht="12.75" hidden="1" customHeight="1" x14ac:dyDescent="0.2">
      <c r="A81" s="100"/>
      <c r="B81" s="150" t="s">
        <v>140</v>
      </c>
      <c r="C81" s="144">
        <f>C80/3.5</f>
        <v>0</v>
      </c>
      <c r="D81" s="144">
        <f>D80/3.5</f>
        <v>0</v>
      </c>
      <c r="E81" s="144">
        <f>E80/3.5</f>
        <v>0</v>
      </c>
      <c r="F81" s="144">
        <f>F80/3.5</f>
        <v>0</v>
      </c>
      <c r="G81" s="144">
        <f>G80/3.5</f>
        <v>0</v>
      </c>
      <c r="H81" s="148"/>
    </row>
    <row r="82" spans="1:8" hidden="1" x14ac:dyDescent="0.2">
      <c r="A82" s="101"/>
      <c r="B82" s="102" t="s">
        <v>141</v>
      </c>
      <c r="C82" s="99">
        <f>SUM('Personnel Yr 1'!J12)</f>
        <v>0</v>
      </c>
      <c r="D82" s="99">
        <f>SUM('Personnel Yr 2'!J12)</f>
        <v>0</v>
      </c>
      <c r="E82" s="99">
        <f>SUM('Personnel Yr 3'!J12)</f>
        <v>0</v>
      </c>
      <c r="F82" s="99">
        <f>SUM('Personnel Yr 4'!J12)</f>
        <v>0</v>
      </c>
      <c r="G82" s="99">
        <f>SUM('Personnel Yr 5'!J12)</f>
        <v>0</v>
      </c>
      <c r="H82" s="99">
        <f>SUM(C82:G82)</f>
        <v>0</v>
      </c>
    </row>
    <row r="83" spans="1:8" hidden="1" x14ac:dyDescent="0.2">
      <c r="A83" s="101"/>
      <c r="B83" s="146" t="s">
        <v>142</v>
      </c>
      <c r="C83" s="147">
        <f>C82/8.5</f>
        <v>0</v>
      </c>
      <c r="D83" s="147">
        <f>D82/8.5</f>
        <v>0</v>
      </c>
      <c r="E83" s="147">
        <f>E82/8.5</f>
        <v>0</v>
      </c>
      <c r="F83" s="147">
        <f>F82/8.5</f>
        <v>0</v>
      </c>
      <c r="G83" s="147">
        <f>G82/8.5</f>
        <v>0</v>
      </c>
      <c r="H83" s="148"/>
    </row>
    <row r="84" spans="1:8" hidden="1" x14ac:dyDescent="0.2">
      <c r="A84" s="106"/>
      <c r="B84" s="104" t="s">
        <v>143</v>
      </c>
      <c r="C84" s="99">
        <f>SUM('Personnel Yr 1'!I12)</f>
        <v>0</v>
      </c>
      <c r="D84" s="99">
        <f>SUM('Personnel Yr 2'!I12)</f>
        <v>0</v>
      </c>
      <c r="E84" s="99">
        <f>SUM('Personnel Yr 3'!I12)</f>
        <v>0</v>
      </c>
      <c r="F84" s="99">
        <f>SUM('Personnel Yr 4'!I12)</f>
        <v>0</v>
      </c>
      <c r="G84" s="99">
        <f>SUM('Personnel Yr 5'!I12)</f>
        <v>0</v>
      </c>
      <c r="H84" s="99">
        <f>SUM(C84:G84)</f>
        <v>0</v>
      </c>
    </row>
    <row r="85" spans="1:8" hidden="1" x14ac:dyDescent="0.2">
      <c r="A85" s="125"/>
      <c r="B85" s="146" t="s">
        <v>144</v>
      </c>
      <c r="C85" s="147">
        <f>C84/12</f>
        <v>0</v>
      </c>
      <c r="D85" s="147">
        <f>D84/12</f>
        <v>0</v>
      </c>
      <c r="E85" s="147">
        <f>E84/12</f>
        <v>0</v>
      </c>
      <c r="F85" s="147">
        <f>F84/12</f>
        <v>0</v>
      </c>
      <c r="G85" s="147">
        <f>G84/12</f>
        <v>0</v>
      </c>
      <c r="H85" s="151"/>
    </row>
    <row r="86" spans="1:8" hidden="1" x14ac:dyDescent="0.2">
      <c r="A86" s="827" t="str">
        <f>CONCATENATE('Personnel Yr 1'!B13, IF(OR(ISBLANK('Personnel Yr 1'!B13),'Personnel Yr 1'!B13=""),""," "),'Personnel Yr 1'!C13, " ",'Personnel Yr 1'!D13,IF(OR(ISBLANK('Personnel Yr 1'!D13),'Personnel Yr 1'!D13=""),""," "),'Personnel Yr 1'!E13," ",'Personnel Yr 1'!F13)</f>
        <v xml:space="preserve">  </v>
      </c>
      <c r="B86" s="780"/>
      <c r="C86" s="108"/>
      <c r="D86" s="108"/>
      <c r="E86" s="108"/>
      <c r="F86" s="108"/>
      <c r="G86" s="124"/>
      <c r="H86" s="123"/>
    </row>
    <row r="87" spans="1:8" hidden="1" x14ac:dyDescent="0.2">
      <c r="A87" s="97" t="str">
        <f>IF(ISBLANK('Personnel Yr 1'!G13),"",'Personnel Yr 1'!G13)</f>
        <v/>
      </c>
      <c r="B87" s="98" t="s">
        <v>139</v>
      </c>
      <c r="C87" s="99">
        <f>SUM('Personnel Yr 1'!K13)</f>
        <v>0</v>
      </c>
      <c r="D87" s="99">
        <f>SUM('Personnel Yr 2'!K13)</f>
        <v>0</v>
      </c>
      <c r="E87" s="99">
        <f>SUM('Personnel Yr 3'!K13)</f>
        <v>0</v>
      </c>
      <c r="F87" s="99">
        <f>SUM('Personnel Yr 4'!K13)</f>
        <v>0</v>
      </c>
      <c r="G87" s="99">
        <f>SUM('Personnel Yr 5'!K13)</f>
        <v>0</v>
      </c>
      <c r="H87" s="99">
        <f>SUM(C87:G87)</f>
        <v>0</v>
      </c>
    </row>
    <row r="88" spans="1:8" hidden="1" x14ac:dyDescent="0.2">
      <c r="A88" s="100"/>
      <c r="B88" s="150" t="s">
        <v>140</v>
      </c>
      <c r="C88" s="144">
        <f>C87/3.5</f>
        <v>0</v>
      </c>
      <c r="D88" s="144">
        <f>D87/3.5</f>
        <v>0</v>
      </c>
      <c r="E88" s="144">
        <f>E87/3.5</f>
        <v>0</v>
      </c>
      <c r="F88" s="144">
        <f>F87/3.5</f>
        <v>0</v>
      </c>
      <c r="G88" s="144">
        <f>G87/3.5</f>
        <v>0</v>
      </c>
      <c r="H88" s="148"/>
    </row>
    <row r="89" spans="1:8" hidden="1" x14ac:dyDescent="0.2">
      <c r="A89" s="101"/>
      <c r="B89" s="102" t="s">
        <v>141</v>
      </c>
      <c r="C89" s="99">
        <f>SUM('Personnel Yr 1'!J13)</f>
        <v>0</v>
      </c>
      <c r="D89" s="99">
        <f>SUM('Personnel Yr 2'!J13)</f>
        <v>0</v>
      </c>
      <c r="E89" s="99">
        <f>SUM('Personnel Yr 3'!J13)</f>
        <v>0</v>
      </c>
      <c r="F89" s="99">
        <f>SUM('Personnel Yr 4'!J13)</f>
        <v>0</v>
      </c>
      <c r="G89" s="99">
        <f>SUM('Personnel Yr 5'!J13)</f>
        <v>0</v>
      </c>
      <c r="H89" s="99">
        <f>SUM(C89:G89)</f>
        <v>0</v>
      </c>
    </row>
    <row r="90" spans="1:8" hidden="1" x14ac:dyDescent="0.2">
      <c r="A90" s="101"/>
      <c r="B90" s="146" t="s">
        <v>142</v>
      </c>
      <c r="C90" s="147">
        <f>C89/8.5</f>
        <v>0</v>
      </c>
      <c r="D90" s="147">
        <f>D89/8.5</f>
        <v>0</v>
      </c>
      <c r="E90" s="147">
        <f>E89/8.5</f>
        <v>0</v>
      </c>
      <c r="F90" s="147">
        <f>F89/8.5</f>
        <v>0</v>
      </c>
      <c r="G90" s="147">
        <f>G89/8.5</f>
        <v>0</v>
      </c>
      <c r="H90" s="148"/>
    </row>
    <row r="91" spans="1:8" hidden="1" x14ac:dyDescent="0.2">
      <c r="A91" s="101"/>
      <c r="B91" s="104" t="s">
        <v>143</v>
      </c>
      <c r="C91" s="99">
        <f>SUM('Personnel Yr 1'!I13)</f>
        <v>0</v>
      </c>
      <c r="D91" s="99">
        <f>SUM('Personnel Yr 2'!I13)</f>
        <v>0</v>
      </c>
      <c r="E91" s="99">
        <f>SUM('Personnel Yr 3'!I13)</f>
        <v>0</v>
      </c>
      <c r="F91" s="99">
        <f>SUM('Personnel Yr 4'!I13)</f>
        <v>0</v>
      </c>
      <c r="G91" s="99">
        <f>SUM('Personnel Yr 5'!I13)</f>
        <v>0</v>
      </c>
      <c r="H91" s="99">
        <f>SUM(C91:G91)</f>
        <v>0</v>
      </c>
    </row>
    <row r="92" spans="1:8" hidden="1" x14ac:dyDescent="0.2">
      <c r="A92" s="125"/>
      <c r="B92" s="146" t="s">
        <v>144</v>
      </c>
      <c r="C92" s="147">
        <f>C91/12</f>
        <v>0</v>
      </c>
      <c r="D92" s="147">
        <f>D91/12</f>
        <v>0</v>
      </c>
      <c r="E92" s="147">
        <f>E91/12</f>
        <v>0</v>
      </c>
      <c r="F92" s="147">
        <f>F91/12</f>
        <v>0</v>
      </c>
      <c r="G92" s="147">
        <f>G91/12</f>
        <v>0</v>
      </c>
      <c r="H92" s="149"/>
    </row>
    <row r="93" spans="1:8" hidden="1" x14ac:dyDescent="0.2">
      <c r="A93" s="827" t="str">
        <f>CONCATENATE('Personnel Yr 1'!B14, IF(OR(ISBLANK('Personnel Yr 1'!B14),'Personnel Yr 1'!B14=""),""," "),'Personnel Yr 1'!C14, " ",'Personnel Yr 1'!D14,IF(OR(ISBLANK('Personnel Yr 1'!D14),'Personnel Yr 1'!D14=""),""," "),'Personnel Yr 1'!E14," ",'Personnel Yr 1'!F14)</f>
        <v xml:space="preserve">  </v>
      </c>
      <c r="B93" s="780"/>
      <c r="C93" s="105"/>
      <c r="D93" s="105"/>
      <c r="E93" s="105"/>
      <c r="F93" s="105"/>
      <c r="G93" s="105"/>
      <c r="H93" s="103"/>
    </row>
    <row r="94" spans="1:8" hidden="1" x14ac:dyDescent="0.2">
      <c r="A94" s="97" t="str">
        <f>IF(ISBLANK('Personnel Yr 1'!G14),"",'Personnel Yr 1'!G14)</f>
        <v/>
      </c>
      <c r="B94" s="98" t="s">
        <v>139</v>
      </c>
      <c r="C94" s="99">
        <f>SUM('Personnel Yr 1'!K14)</f>
        <v>0</v>
      </c>
      <c r="D94" s="99">
        <f>SUM('Personnel Yr 2'!K14)</f>
        <v>0</v>
      </c>
      <c r="E94" s="99">
        <f>SUM('Personnel Yr 3'!K14)</f>
        <v>0</v>
      </c>
      <c r="F94" s="99">
        <f>SUM('Personnel Yr 4'!K14)</f>
        <v>0</v>
      </c>
      <c r="G94" s="99">
        <f>SUM('Personnel Yr 5'!K14)</f>
        <v>0</v>
      </c>
      <c r="H94" s="99">
        <f>SUM(C94:G94)</f>
        <v>0</v>
      </c>
    </row>
    <row r="95" spans="1:8" hidden="1" x14ac:dyDescent="0.2">
      <c r="A95" s="100"/>
      <c r="B95" s="150" t="s">
        <v>140</v>
      </c>
      <c r="C95" s="144">
        <f>C94/3.5</f>
        <v>0</v>
      </c>
      <c r="D95" s="144">
        <f>D94/3.5</f>
        <v>0</v>
      </c>
      <c r="E95" s="144">
        <f>E94/3.5</f>
        <v>0</v>
      </c>
      <c r="F95" s="144">
        <f>F94/3.5</f>
        <v>0</v>
      </c>
      <c r="G95" s="144">
        <f>G94/3.5</f>
        <v>0</v>
      </c>
      <c r="H95" s="148"/>
    </row>
    <row r="96" spans="1:8" hidden="1" x14ac:dyDescent="0.2">
      <c r="A96" s="101"/>
      <c r="B96" s="102" t="s">
        <v>141</v>
      </c>
      <c r="C96" s="99">
        <f>SUM('Personnel Yr 1'!J14)</f>
        <v>0</v>
      </c>
      <c r="D96" s="99">
        <f>SUM('Personnel Yr 2'!J14)</f>
        <v>0</v>
      </c>
      <c r="E96" s="99">
        <f>SUM('Personnel Yr 3'!J14)</f>
        <v>0</v>
      </c>
      <c r="F96" s="99">
        <f>SUM('Personnel Yr 4'!J14)</f>
        <v>0</v>
      </c>
      <c r="G96" s="99">
        <f>SUM('Personnel Yr 5'!J14)</f>
        <v>0</v>
      </c>
      <c r="H96" s="99">
        <f>SUM(C96:G96)</f>
        <v>0</v>
      </c>
    </row>
    <row r="97" spans="1:8" hidden="1" x14ac:dyDescent="0.2">
      <c r="A97" s="101"/>
      <c r="B97" s="146" t="s">
        <v>142</v>
      </c>
      <c r="C97" s="147">
        <f>C96/8.5</f>
        <v>0</v>
      </c>
      <c r="D97" s="147">
        <f>D96/8.5</f>
        <v>0</v>
      </c>
      <c r="E97" s="147">
        <f>E96/8.5</f>
        <v>0</v>
      </c>
      <c r="F97" s="147">
        <f>F96/8.5</f>
        <v>0</v>
      </c>
      <c r="G97" s="147">
        <f>G96/8.5</f>
        <v>0</v>
      </c>
      <c r="H97" s="148"/>
    </row>
    <row r="98" spans="1:8" hidden="1" x14ac:dyDescent="0.2">
      <c r="A98" s="101"/>
      <c r="B98" s="104" t="s">
        <v>143</v>
      </c>
      <c r="C98" s="99">
        <f>SUM('Personnel Yr 1'!I14)</f>
        <v>0</v>
      </c>
      <c r="D98" s="99">
        <f>SUM('Personnel Yr 2'!I14)</f>
        <v>0</v>
      </c>
      <c r="E98" s="99">
        <f>SUM('Personnel Yr 3'!I14)</f>
        <v>0</v>
      </c>
      <c r="F98" s="99">
        <f>SUM('Personnel Yr 4'!I14)</f>
        <v>0</v>
      </c>
      <c r="G98" s="99">
        <f>SUM('Personnel Yr 5'!I14)</f>
        <v>0</v>
      </c>
      <c r="H98" s="99">
        <f>SUM(C98:G98)</f>
        <v>0</v>
      </c>
    </row>
    <row r="99" spans="1:8" ht="13.5" hidden="1" thickBot="1" x14ac:dyDescent="0.25">
      <c r="A99" s="107"/>
      <c r="B99" s="152" t="s">
        <v>144</v>
      </c>
      <c r="C99" s="153">
        <f>C98/12</f>
        <v>0</v>
      </c>
      <c r="D99" s="153">
        <f>D98/12</f>
        <v>0</v>
      </c>
      <c r="E99" s="153">
        <f>E98/12</f>
        <v>0</v>
      </c>
      <c r="F99" s="153">
        <f>F98/12</f>
        <v>0</v>
      </c>
      <c r="G99" s="153">
        <f>G98/12</f>
        <v>0</v>
      </c>
      <c r="H99" s="154"/>
    </row>
    <row r="100" spans="1:8" hidden="1" x14ac:dyDescent="0.2">
      <c r="A100" s="109"/>
      <c r="B100" s="110"/>
      <c r="C100" s="110"/>
      <c r="D100" s="110"/>
      <c r="E100" s="110"/>
      <c r="F100" s="110"/>
      <c r="G100" s="110"/>
      <c r="H100" s="110"/>
    </row>
    <row r="101" spans="1:8" ht="14.45" customHeight="1" x14ac:dyDescent="0.25">
      <c r="A101" s="819" t="s">
        <v>145</v>
      </c>
      <c r="B101" s="819"/>
      <c r="C101" s="492" t="s">
        <v>35</v>
      </c>
      <c r="D101" s="492" t="s">
        <v>36</v>
      </c>
      <c r="E101" s="492" t="s">
        <v>37</v>
      </c>
      <c r="F101" s="492" t="s">
        <v>38</v>
      </c>
      <c r="G101" s="492" t="s">
        <v>39</v>
      </c>
      <c r="H101" s="493" t="s">
        <v>40</v>
      </c>
    </row>
    <row r="102" spans="1:8" s="528" customFormat="1" ht="12.95" customHeight="1" x14ac:dyDescent="0.2">
      <c r="A102" s="821" t="s">
        <v>146</v>
      </c>
      <c r="B102" s="822"/>
      <c r="C102" s="476">
        <f>SUM('Personnel Yr 1'!L23)</f>
        <v>0</v>
      </c>
      <c r="D102" s="476">
        <f>SUM('Personnel Yr 2'!L23)</f>
        <v>0</v>
      </c>
      <c r="E102" s="476">
        <f>SUM('Personnel Yr 3'!L23)</f>
        <v>0</v>
      </c>
      <c r="F102" s="476">
        <f>SUM('Personnel Yr 4'!L23)</f>
        <v>0</v>
      </c>
      <c r="G102" s="476">
        <f>SUM('Personnel Yr 5'!L23)</f>
        <v>0</v>
      </c>
      <c r="H102" s="476">
        <f>SUM(C102:G102)</f>
        <v>0</v>
      </c>
    </row>
    <row r="103" spans="1:8" s="528" customFormat="1" ht="12.95" customHeight="1" x14ac:dyDescent="0.2">
      <c r="A103" s="821" t="s">
        <v>527</v>
      </c>
      <c r="B103" s="822"/>
      <c r="C103" s="476">
        <f>SUM('Personnel Yr 1'!L25)</f>
        <v>0</v>
      </c>
      <c r="D103" s="476">
        <f>SUM('Personnel Yr 2'!L25)</f>
        <v>0</v>
      </c>
      <c r="E103" s="476">
        <f>SUM('Personnel Yr 3'!L25)</f>
        <v>0</v>
      </c>
      <c r="F103" s="476">
        <f>SUM('Personnel Yr 4'!L25)</f>
        <v>0</v>
      </c>
      <c r="G103" s="476">
        <f>SUM('Personnel Yr 5'!L25)</f>
        <v>0</v>
      </c>
      <c r="H103" s="476">
        <f>SUM(C103:G103)</f>
        <v>0</v>
      </c>
    </row>
    <row r="104" spans="1:8" s="528" customFormat="1" ht="12.95" customHeight="1" x14ac:dyDescent="0.2">
      <c r="A104" s="801" t="s">
        <v>149</v>
      </c>
      <c r="B104" s="802"/>
      <c r="C104" s="476"/>
      <c r="D104" s="476"/>
      <c r="E104" s="476"/>
      <c r="F104" s="476"/>
      <c r="G104" s="476"/>
      <c r="H104" s="476"/>
    </row>
    <row r="105" spans="1:8" s="528" customFormat="1" ht="12.95" customHeight="1" x14ac:dyDescent="0.2">
      <c r="A105" s="784" t="s">
        <v>150</v>
      </c>
      <c r="B105" s="785"/>
      <c r="C105" s="476">
        <f>SUM('Personnel Yr 1'!L21)</f>
        <v>0</v>
      </c>
      <c r="D105" s="476">
        <f>SUM('Personnel Yr 2'!L21)</f>
        <v>0</v>
      </c>
      <c r="E105" s="476">
        <f>SUM('Personnel Yr 3'!L21)</f>
        <v>0</v>
      </c>
      <c r="F105" s="476">
        <f>SUM('Personnel Yr 4'!L21)</f>
        <v>0</v>
      </c>
      <c r="G105" s="476">
        <f>SUM('Personnel Yr 5'!L21)</f>
        <v>0</v>
      </c>
      <c r="H105" s="476">
        <f t="shared" ref="H105:H112" si="2">SUM(C105:G105)</f>
        <v>0</v>
      </c>
    </row>
    <row r="106" spans="1:8" s="528" customFormat="1" ht="12.95" customHeight="1" x14ac:dyDescent="0.2">
      <c r="A106" s="784" t="s">
        <v>151</v>
      </c>
      <c r="B106" s="785"/>
      <c r="C106" s="476">
        <f>SUM('Personnel Yr 1'!L24)</f>
        <v>0</v>
      </c>
      <c r="D106" s="476">
        <f>SUM('Personnel Yr 2'!L24)</f>
        <v>0</v>
      </c>
      <c r="E106" s="476">
        <f>SUM('Personnel Yr 3'!L24)</f>
        <v>0</v>
      </c>
      <c r="F106" s="476">
        <f>SUM('Personnel Yr 4'!L24)</f>
        <v>0</v>
      </c>
      <c r="G106" s="476">
        <f>SUM('Personnel Yr 5'!L24)</f>
        <v>0</v>
      </c>
      <c r="H106" s="476">
        <f t="shared" si="2"/>
        <v>0</v>
      </c>
    </row>
    <row r="107" spans="1:8" s="528" customFormat="1" ht="12.95" customHeight="1" x14ac:dyDescent="0.2">
      <c r="A107" s="797" t="s">
        <v>152</v>
      </c>
      <c r="B107" s="798"/>
      <c r="C107" s="476">
        <f>SUM('Personnel Yr 1'!L22)</f>
        <v>0</v>
      </c>
      <c r="D107" s="476">
        <f>SUM('Personnel Yr 2'!L22)</f>
        <v>0</v>
      </c>
      <c r="E107" s="476">
        <f>SUM('Personnel Yr 3'!L22)</f>
        <v>0</v>
      </c>
      <c r="F107" s="476">
        <f>SUM('Personnel Yr 4'!L22)</f>
        <v>0</v>
      </c>
      <c r="G107" s="476">
        <f>SUM('Personnel Yr 5'!L22)</f>
        <v>0</v>
      </c>
      <c r="H107" s="476">
        <f t="shared" si="2"/>
        <v>0</v>
      </c>
    </row>
    <row r="108" spans="1:8" s="528" customFormat="1" ht="12.95" customHeight="1" x14ac:dyDescent="0.2">
      <c r="A108" s="784" t="s">
        <v>153</v>
      </c>
      <c r="B108" s="785"/>
      <c r="C108" s="476">
        <f>SUM('Personnel Yr 1'!L26)</f>
        <v>0</v>
      </c>
      <c r="D108" s="476">
        <f>SUM('Personnel Yr 2'!L26)</f>
        <v>0</v>
      </c>
      <c r="E108" s="476">
        <f>SUM('Personnel Yr 3'!L26)</f>
        <v>0</v>
      </c>
      <c r="F108" s="476">
        <f>SUM('Personnel Yr 4'!L26)</f>
        <v>0</v>
      </c>
      <c r="G108" s="476">
        <f>SUM('Personnel Yr 5'!L26)</f>
        <v>0</v>
      </c>
      <c r="H108" s="476">
        <f t="shared" si="2"/>
        <v>0</v>
      </c>
    </row>
    <row r="109" spans="1:8" s="528" customFormat="1" ht="12.95" customHeight="1" x14ac:dyDescent="0.2">
      <c r="A109" s="797" t="s">
        <v>420</v>
      </c>
      <c r="B109" s="798"/>
      <c r="C109" s="494">
        <f>SUM('Personnel Yr 1'!L27)</f>
        <v>0</v>
      </c>
      <c r="D109" s="494">
        <f>SUM('Personnel Yr 2'!L27)</f>
        <v>0</v>
      </c>
      <c r="E109" s="494">
        <f>SUM('Personnel Yr 3'!L27)</f>
        <v>0</v>
      </c>
      <c r="F109" s="494">
        <f>SUM('Personnel Yr 4'!L27)</f>
        <v>0</v>
      </c>
      <c r="G109" s="494">
        <f>SUM('Personnel Yr 5'!L27)</f>
        <v>0</v>
      </c>
      <c r="H109" s="495">
        <f t="shared" si="2"/>
        <v>0</v>
      </c>
    </row>
    <row r="110" spans="1:8" s="528" customFormat="1" ht="12.95" customHeight="1" x14ac:dyDescent="0.2">
      <c r="A110" s="797" t="s">
        <v>419</v>
      </c>
      <c r="B110" s="798"/>
      <c r="C110" s="494">
        <f>SUM('Personnel Yr 1'!L28)</f>
        <v>0</v>
      </c>
      <c r="D110" s="494">
        <f>SUM('Personnel Yr 2'!L28)</f>
        <v>0</v>
      </c>
      <c r="E110" s="494">
        <f>SUM('Personnel Yr 3'!L28)</f>
        <v>0</v>
      </c>
      <c r="F110" s="494">
        <f>SUM('Personnel Yr 4'!L28)</f>
        <v>0</v>
      </c>
      <c r="G110" s="494">
        <f>SUM('Personnel Yr 5'!L28)</f>
        <v>0</v>
      </c>
      <c r="H110" s="495">
        <f t="shared" ref="H110" si="3">SUM(C110:G110)</f>
        <v>0</v>
      </c>
    </row>
    <row r="111" spans="1:8" ht="14.45" customHeight="1" x14ac:dyDescent="0.25">
      <c r="A111" s="775" t="s">
        <v>154</v>
      </c>
      <c r="B111" s="808"/>
      <c r="C111" s="496">
        <f>SUM(C105:C110)</f>
        <v>0</v>
      </c>
      <c r="D111" s="496">
        <f t="shared" ref="D111:G111" si="4">SUM(D105:D110)</f>
        <v>0</v>
      </c>
      <c r="E111" s="496">
        <f t="shared" si="4"/>
        <v>0</v>
      </c>
      <c r="F111" s="496">
        <f t="shared" si="4"/>
        <v>0</v>
      </c>
      <c r="G111" s="496">
        <f t="shared" si="4"/>
        <v>0</v>
      </c>
      <c r="H111" s="497">
        <f t="shared" si="2"/>
        <v>0</v>
      </c>
    </row>
    <row r="112" spans="1:8" ht="14.45" customHeight="1" thickBot="1" x14ac:dyDescent="0.3">
      <c r="A112" s="813" t="s">
        <v>155</v>
      </c>
      <c r="B112" s="814"/>
      <c r="C112" s="498">
        <f>SUM(C102:C103,C105:C110)</f>
        <v>0</v>
      </c>
      <c r="D112" s="498">
        <f t="shared" ref="D112:G112" si="5">SUM(D102:D103,D105:D110)</f>
        <v>0</v>
      </c>
      <c r="E112" s="498">
        <f t="shared" si="5"/>
        <v>0</v>
      </c>
      <c r="F112" s="498">
        <f t="shared" si="5"/>
        <v>0</v>
      </c>
      <c r="G112" s="498">
        <f t="shared" si="5"/>
        <v>0</v>
      </c>
      <c r="H112" s="498">
        <f t="shared" si="2"/>
        <v>0</v>
      </c>
    </row>
    <row r="113" spans="1:8" ht="13.5" thickTop="1" x14ac:dyDescent="0.2">
      <c r="A113" s="111"/>
      <c r="B113" s="112"/>
      <c r="C113" s="112"/>
      <c r="D113" s="112"/>
      <c r="E113" s="112"/>
      <c r="F113" s="112"/>
      <c r="G113" s="112"/>
      <c r="H113" s="112"/>
    </row>
    <row r="114" spans="1:8" s="528" customFormat="1" ht="14.45" customHeight="1" thickBot="1" x14ac:dyDescent="0.3">
      <c r="A114" s="815" t="s">
        <v>156</v>
      </c>
      <c r="B114" s="816"/>
      <c r="C114" s="491">
        <f>SUM(C112,C41)</f>
        <v>0</v>
      </c>
      <c r="D114" s="491">
        <f>SUM(D112,D41)</f>
        <v>0</v>
      </c>
      <c r="E114" s="491">
        <f>SUM(E112,E41)</f>
        <v>0</v>
      </c>
      <c r="F114" s="491">
        <f>SUM(F112,F41)</f>
        <v>0</v>
      </c>
      <c r="G114" s="491">
        <f>SUM(G112,G41)</f>
        <v>0</v>
      </c>
      <c r="H114" s="491">
        <f>SUM(C114:G114)</f>
        <v>0</v>
      </c>
    </row>
    <row r="115" spans="1:8" ht="13.5" thickTop="1" x14ac:dyDescent="0.2">
      <c r="A115" s="113"/>
      <c r="B115" s="114"/>
      <c r="C115" s="114"/>
      <c r="D115" s="114"/>
      <c r="E115" s="114"/>
      <c r="F115" s="114"/>
      <c r="G115" s="114"/>
      <c r="H115" s="114"/>
    </row>
    <row r="116" spans="1:8" s="528" customFormat="1" ht="14.45" customHeight="1" x14ac:dyDescent="0.25">
      <c r="A116" s="819" t="s">
        <v>157</v>
      </c>
      <c r="B116" s="819"/>
      <c r="C116" s="492" t="s">
        <v>35</v>
      </c>
      <c r="D116" s="492" t="s">
        <v>36</v>
      </c>
      <c r="E116" s="492" t="s">
        <v>37</v>
      </c>
      <c r="F116" s="492" t="s">
        <v>38</v>
      </c>
      <c r="G116" s="492" t="s">
        <v>39</v>
      </c>
      <c r="H116" s="493" t="s">
        <v>40</v>
      </c>
    </row>
    <row r="117" spans="1:8" s="528" customFormat="1" ht="12.95" customHeight="1" x14ac:dyDescent="0.2">
      <c r="A117" s="809" t="str">
        <f>"1)  " &amp; LOOKUP("Full",Ben,Per)*100 &amp; "% (AY Faculty, Regular)"</f>
        <v>1)  36.3% (AY Faculty, Regular)</v>
      </c>
      <c r="B117" s="810"/>
      <c r="C117" s="476">
        <f>SUM('Personnel Yr 1'!U15,'Personnel Yr 1'!V15,'Personnel Yr 1'!M21:M22,'Personnel Yr 1'!M25,'Personnel Yr 1'!U59,'Personnel Yr 1'!V59)</f>
        <v>0</v>
      </c>
      <c r="D117" s="476">
        <f>SUM('Personnel Yr 2'!T15,'Personnel Yr 2'!U15,'Personnel Yr 2'!M21:M22,'Personnel Yr 2'!M25,'Personnel Yr 2'!T59,'Personnel Yr 2'!U59)</f>
        <v>0</v>
      </c>
      <c r="E117" s="476">
        <f>SUM('Personnel Yr 3'!T15,'Personnel Yr 3'!U15,'Personnel Yr 3'!M21:M22,'Personnel Yr 3'!M25,'Personnel Yr 3'!T59,'Personnel Yr 3'!U59)</f>
        <v>0</v>
      </c>
      <c r="F117" s="476">
        <f>SUM('Personnel Yr 4'!T15,'Personnel Yr 4'!U15,'Personnel Yr 4'!M21:M22,'Personnel Yr 4'!M25,'Personnel Yr 4'!T59,'Personnel Yr 4'!U59)</f>
        <v>0</v>
      </c>
      <c r="G117" s="476">
        <f>SUM('Personnel Yr 5'!T15,'Personnel Yr 5'!U15,'Personnel Yr 5'!M21:M22,'Personnel Yr 5'!M25,'Personnel Yr 5'!T59,'Personnel Yr 5'!U59)</f>
        <v>0</v>
      </c>
      <c r="H117" s="476">
        <f t="shared" ref="H117:H122" si="6">SUM(C117:G117)</f>
        <v>0</v>
      </c>
    </row>
    <row r="118" spans="1:8" s="528" customFormat="1" ht="12.95" customHeight="1" x14ac:dyDescent="0.2">
      <c r="A118" s="809" t="str">
        <f>"2)  " &amp; LOOKUP("Summer",Ben,Per)*100 &amp; "% (Summer Faculty)"</f>
        <v>2)  23.4% (Summer Faculty)</v>
      </c>
      <c r="B118" s="810"/>
      <c r="C118" s="476">
        <f>SUM('Personnel Yr 1'!W15,'Personnel Yr 1'!W59)</f>
        <v>0</v>
      </c>
      <c r="D118" s="476">
        <f>SUM('Personnel Yr 2'!V15,'Personnel Yr 2'!V59)</f>
        <v>0</v>
      </c>
      <c r="E118" s="476">
        <f>SUM('Personnel Yr 3'!V15,'Personnel Yr 3'!V59)</f>
        <v>0</v>
      </c>
      <c r="F118" s="476">
        <f>SUM('Personnel Yr 4'!V15,'Personnel Yr 4'!V59)</f>
        <v>0</v>
      </c>
      <c r="G118" s="476">
        <f>SUM('Personnel Yr 5'!V15,'Personnel Yr 5'!V59)</f>
        <v>0</v>
      </c>
      <c r="H118" s="476">
        <f t="shared" si="6"/>
        <v>0</v>
      </c>
    </row>
    <row r="119" spans="1:8" s="528" customFormat="1" ht="12.95" customHeight="1" x14ac:dyDescent="0.2">
      <c r="A119" s="809" t="str">
        <f>IF(ISBLANK('Personnel Yr 1'!H23),"3)  " &amp; 'Drop Choices'!D2 * 100 &amp; "%/" &amp; 'Drop Choices'!D3 * 100 &amp; "% (GA)","3)  " &amp; LOOKUP('Personnel Yr 1'!H23,Grad,GradR)*100 &amp; "% (Graduate Assistants)")</f>
        <v>3)  20.4% (Graduate Assistants)</v>
      </c>
      <c r="B119" s="810"/>
      <c r="C119" s="476">
        <f>SUM('Personnel Yr 1'!M23)</f>
        <v>0</v>
      </c>
      <c r="D119" s="476">
        <f>SUM('Personnel Yr 2'!M23)</f>
        <v>0</v>
      </c>
      <c r="E119" s="476">
        <f>SUM('Personnel Yr 3'!M23)</f>
        <v>0</v>
      </c>
      <c r="F119" s="476">
        <f>SUM('Personnel Yr 4'!M23)</f>
        <v>0</v>
      </c>
      <c r="G119" s="476">
        <f>SUM('Personnel Yr 5'!M23)</f>
        <v>0</v>
      </c>
      <c r="H119" s="476">
        <f t="shared" si="6"/>
        <v>0</v>
      </c>
    </row>
    <row r="120" spans="1:8" s="528" customFormat="1" ht="12.95" customHeight="1" x14ac:dyDescent="0.2">
      <c r="A120" s="811" t="str">
        <f>"4)  " &amp; LOOKUP("Temp",Ben,Per)*100 &amp; "% (Hourly &amp; Extra Service)"</f>
        <v>4)  7.65% (Hourly &amp; Extra Service)</v>
      </c>
      <c r="B120" s="812"/>
      <c r="C120" s="495">
        <f>SUM('Personnel Yr 1'!M24,'Personnel Yr 1'!M26,'Personnel Yr 1'!M27)</f>
        <v>0</v>
      </c>
      <c r="D120" s="495">
        <f>SUM('Personnel Yr 2'!M24,'Personnel Yr 2'!M26,'Personnel Yr 2'!M27)</f>
        <v>0</v>
      </c>
      <c r="E120" s="495">
        <f>SUM('Personnel Yr 3'!M24,'Personnel Yr 3'!M26,'Personnel Yr 3'!M27)</f>
        <v>0</v>
      </c>
      <c r="F120" s="495">
        <f>SUM('Personnel Yr 4'!M24,'Personnel Yr 4'!M26,'Personnel Yr 4'!M27)</f>
        <v>0</v>
      </c>
      <c r="G120" s="495">
        <f>SUM('Personnel Yr 5'!M24,'Personnel Yr 5'!M26,'Personnel Yr 5'!M27)</f>
        <v>0</v>
      </c>
      <c r="H120" s="495">
        <f t="shared" si="6"/>
        <v>0</v>
      </c>
    </row>
    <row r="121" spans="1:8" s="528" customFormat="1" ht="12.95" customHeight="1" x14ac:dyDescent="0.2">
      <c r="A121" s="811" t="str">
        <f>"5)  " &amp; LOOKUP("Adjunct",Ben,Per)*100 &amp; "% (Adjunct)"</f>
        <v>5)  13.5% (Adjunct)</v>
      </c>
      <c r="B121" s="812"/>
      <c r="C121" s="494">
        <f>SUM('Personnel Yr 1'!M28)</f>
        <v>0</v>
      </c>
      <c r="D121" s="494">
        <f>SUM('Personnel Yr 2'!M28)</f>
        <v>0</v>
      </c>
      <c r="E121" s="494">
        <f>SUM('Personnel Yr 3'!M28)</f>
        <v>0</v>
      </c>
      <c r="F121" s="494">
        <f>SUM('Personnel Yr 4'!M28)</f>
        <v>0</v>
      </c>
      <c r="G121" s="494">
        <f>SUM('Personnel Yr 5'!M28)</f>
        <v>0</v>
      </c>
      <c r="H121" s="495">
        <f t="shared" si="6"/>
        <v>0</v>
      </c>
    </row>
    <row r="122" spans="1:8" s="528" customFormat="1" ht="14.45" customHeight="1" thickBot="1" x14ac:dyDescent="0.3">
      <c r="A122" s="817" t="s">
        <v>158</v>
      </c>
      <c r="B122" s="818"/>
      <c r="C122" s="491">
        <f>SUM(C117:C121)</f>
        <v>0</v>
      </c>
      <c r="D122" s="491">
        <f>SUM(D117:D120)</f>
        <v>0</v>
      </c>
      <c r="E122" s="491">
        <f>SUM(E117:E120)</f>
        <v>0</v>
      </c>
      <c r="F122" s="491">
        <f>SUM(F117:F120)</f>
        <v>0</v>
      </c>
      <c r="G122" s="491">
        <f>SUM(G117:G120)</f>
        <v>0</v>
      </c>
      <c r="H122" s="491">
        <f t="shared" si="6"/>
        <v>0</v>
      </c>
    </row>
    <row r="123" spans="1:8" ht="13.5" thickTop="1" x14ac:dyDescent="0.2">
      <c r="A123" s="111"/>
      <c r="B123" s="112"/>
      <c r="C123" s="112"/>
      <c r="D123" s="112"/>
      <c r="E123" s="112"/>
      <c r="F123" s="112"/>
      <c r="G123" s="112"/>
      <c r="H123" s="138"/>
    </row>
    <row r="124" spans="1:8" s="528" customFormat="1" ht="14.45" customHeight="1" thickBot="1" x14ac:dyDescent="0.3">
      <c r="A124" s="817" t="s">
        <v>160</v>
      </c>
      <c r="B124" s="818"/>
      <c r="C124" s="499">
        <f>SUM(C122,C114)</f>
        <v>0</v>
      </c>
      <c r="D124" s="499">
        <f>SUM(D122,D114)</f>
        <v>0</v>
      </c>
      <c r="E124" s="499">
        <f>SUM(E122,E114)</f>
        <v>0</v>
      </c>
      <c r="F124" s="499">
        <f>SUM(F122,F114)</f>
        <v>0</v>
      </c>
      <c r="G124" s="499">
        <f>SUM(G122,G114)</f>
        <v>0</v>
      </c>
      <c r="H124" s="500">
        <f>SUM(C124:G124)</f>
        <v>0</v>
      </c>
    </row>
    <row r="125" spans="1:8" ht="13.5" thickTop="1" x14ac:dyDescent="0.2">
      <c r="A125" s="113"/>
      <c r="B125" s="114"/>
      <c r="C125" s="114"/>
      <c r="D125" s="114"/>
      <c r="E125" s="114"/>
      <c r="F125" s="114"/>
      <c r="G125" s="114"/>
      <c r="H125" s="114"/>
    </row>
    <row r="126" spans="1:8" s="528" customFormat="1" ht="14.45" customHeight="1" x14ac:dyDescent="0.25">
      <c r="A126" s="819" t="s">
        <v>161</v>
      </c>
      <c r="B126" s="819"/>
      <c r="C126" s="492" t="s">
        <v>35</v>
      </c>
      <c r="D126" s="492" t="s">
        <v>36</v>
      </c>
      <c r="E126" s="492" t="s">
        <v>37</v>
      </c>
      <c r="F126" s="492" t="s">
        <v>38</v>
      </c>
      <c r="G126" s="492" t="s">
        <v>39</v>
      </c>
      <c r="H126" s="493" t="s">
        <v>40</v>
      </c>
    </row>
    <row r="127" spans="1:8" s="528" customFormat="1" ht="12.95" customHeight="1" x14ac:dyDescent="0.2">
      <c r="A127" s="809" t="s">
        <v>511</v>
      </c>
      <c r="B127" s="810"/>
      <c r="C127" s="476">
        <f>SUM('Non-personnel'!H15:I15)</f>
        <v>0</v>
      </c>
      <c r="D127" s="476">
        <f>SUM('Non-personnel'!J15:K15)</f>
        <v>0</v>
      </c>
      <c r="E127" s="476">
        <f>SUM('Non-personnel'!L15:M15)</f>
        <v>0</v>
      </c>
      <c r="F127" s="476">
        <f>SUM('Non-personnel'!M15:O15)</f>
        <v>0</v>
      </c>
      <c r="G127" s="476">
        <f>SUM('Non-personnel'!P15:Q15)</f>
        <v>0</v>
      </c>
      <c r="H127" s="476">
        <f>SUM(C127:G127)</f>
        <v>0</v>
      </c>
    </row>
    <row r="128" spans="1:8" s="528" customFormat="1" ht="14.45" customHeight="1" thickBot="1" x14ac:dyDescent="0.3">
      <c r="A128" s="817" t="s">
        <v>163</v>
      </c>
      <c r="B128" s="818"/>
      <c r="C128" s="501">
        <f>SUM('Non-personnel'!H15:I15)</f>
        <v>0</v>
      </c>
      <c r="D128" s="501">
        <f>SUM('Non-personnel'!J15:K15)</f>
        <v>0</v>
      </c>
      <c r="E128" s="501">
        <f>SUM('Non-personnel'!L15:M15)</f>
        <v>0</v>
      </c>
      <c r="F128" s="501">
        <f>SUM('Non-personnel'!N15:O15)</f>
        <v>0</v>
      </c>
      <c r="G128" s="501">
        <f>SUM('Non-personnel'!P15:Q15)</f>
        <v>0</v>
      </c>
      <c r="H128" s="491">
        <f>SUM(C128:G128)</f>
        <v>0</v>
      </c>
    </row>
    <row r="129" spans="1:8" ht="13.5" thickTop="1" x14ac:dyDescent="0.2">
      <c r="A129" s="113"/>
      <c r="B129" s="115"/>
      <c r="C129" s="115"/>
      <c r="D129" s="115"/>
      <c r="E129" s="115"/>
      <c r="F129" s="115"/>
      <c r="G129" s="115"/>
      <c r="H129" s="115"/>
    </row>
    <row r="130" spans="1:8" s="528" customFormat="1" ht="14.45" customHeight="1" x14ac:dyDescent="0.25">
      <c r="A130" s="819" t="s">
        <v>164</v>
      </c>
      <c r="B130" s="819"/>
      <c r="C130" s="492" t="s">
        <v>35</v>
      </c>
      <c r="D130" s="492" t="s">
        <v>36</v>
      </c>
      <c r="E130" s="492" t="s">
        <v>37</v>
      </c>
      <c r="F130" s="492" t="s">
        <v>38</v>
      </c>
      <c r="G130" s="492" t="s">
        <v>39</v>
      </c>
      <c r="H130" s="493" t="s">
        <v>40</v>
      </c>
    </row>
    <row r="131" spans="1:8" s="528" customFormat="1" ht="12.95" customHeight="1" x14ac:dyDescent="0.2">
      <c r="A131" s="809" t="s">
        <v>201</v>
      </c>
      <c r="B131" s="810"/>
      <c r="C131" s="476">
        <f>SUM('Non-personnel'!H19:I19)</f>
        <v>0</v>
      </c>
      <c r="D131" s="476">
        <f>SUM('Non-personnel'!J19:K19)</f>
        <v>0</v>
      </c>
      <c r="E131" s="476">
        <f>SUM('Non-personnel'!L19:M19)</f>
        <v>0</v>
      </c>
      <c r="F131" s="476">
        <f>SUM('Non-personnel'!N19:O19)</f>
        <v>0</v>
      </c>
      <c r="G131" s="476">
        <f>SUM('Non-personnel'!P19:Q19)</f>
        <v>0</v>
      </c>
      <c r="H131" s="476">
        <f>SUM(C131:G131)</f>
        <v>0</v>
      </c>
    </row>
    <row r="132" spans="1:8" s="528" customFormat="1" ht="12.95" customHeight="1" x14ac:dyDescent="0.2">
      <c r="A132" s="809" t="s">
        <v>202</v>
      </c>
      <c r="B132" s="810"/>
      <c r="C132" s="476">
        <f>SUM('Non-personnel'!H20:I20)</f>
        <v>0</v>
      </c>
      <c r="D132" s="476">
        <f>SUM('Non-personnel'!J20:K20)</f>
        <v>0</v>
      </c>
      <c r="E132" s="476">
        <f>SUM('Non-personnel'!L20:M20)</f>
        <v>0</v>
      </c>
      <c r="F132" s="476">
        <f>SUM('Non-personnel'!N20:O20)</f>
        <v>0</v>
      </c>
      <c r="G132" s="476">
        <f>SUM('Non-personnel'!P20:Q20)</f>
        <v>0</v>
      </c>
      <c r="H132" s="476">
        <f>SUM(C132:G132)</f>
        <v>0</v>
      </c>
    </row>
    <row r="133" spans="1:8" s="528" customFormat="1" ht="14.45" customHeight="1" thickBot="1" x14ac:dyDescent="0.3">
      <c r="A133" s="817" t="s">
        <v>167</v>
      </c>
      <c r="B133" s="818"/>
      <c r="C133" s="501">
        <f>SUM('Non-personnel'!H21:I21)</f>
        <v>0</v>
      </c>
      <c r="D133" s="501">
        <f>SUM('Non-personnel'!J21:K21)</f>
        <v>0</v>
      </c>
      <c r="E133" s="501">
        <f>SUM('Non-personnel'!L21:M21)</f>
        <v>0</v>
      </c>
      <c r="F133" s="501">
        <f>SUM('Non-personnel'!N21:O21)</f>
        <v>0</v>
      </c>
      <c r="G133" s="501">
        <f>SUM('Non-personnel'!P21:Q21)</f>
        <v>0</v>
      </c>
      <c r="H133" s="491">
        <f>SUM(C133:G133)</f>
        <v>0</v>
      </c>
    </row>
    <row r="134" spans="1:8" ht="13.5" thickTop="1" x14ac:dyDescent="0.2">
      <c r="A134" s="113"/>
      <c r="B134" s="115"/>
      <c r="C134" s="115"/>
      <c r="D134" s="115"/>
      <c r="E134" s="115"/>
      <c r="F134" s="115"/>
      <c r="G134" s="115"/>
      <c r="H134" s="115"/>
    </row>
    <row r="135" spans="1:8" s="528" customFormat="1" ht="14.45" customHeight="1" x14ac:dyDescent="0.25">
      <c r="A135" s="819" t="s">
        <v>169</v>
      </c>
      <c r="B135" s="833"/>
      <c r="C135" s="492" t="s">
        <v>35</v>
      </c>
      <c r="D135" s="492" t="s">
        <v>36</v>
      </c>
      <c r="E135" s="492" t="s">
        <v>37</v>
      </c>
      <c r="F135" s="492" t="s">
        <v>38</v>
      </c>
      <c r="G135" s="492" t="s">
        <v>39</v>
      </c>
      <c r="H135" s="492" t="s">
        <v>40</v>
      </c>
    </row>
    <row r="136" spans="1:8" s="528" customFormat="1" ht="12.95" customHeight="1" x14ac:dyDescent="0.2">
      <c r="A136" s="809" t="s">
        <v>203</v>
      </c>
      <c r="B136" s="810"/>
      <c r="C136" s="476">
        <f>'Non-personnel'!H25</f>
        <v>0</v>
      </c>
      <c r="D136" s="476">
        <f>'Non-personnel'!J25</f>
        <v>0</v>
      </c>
      <c r="E136" s="476">
        <f>'Non-personnel'!L25</f>
        <v>0</v>
      </c>
      <c r="F136" s="476">
        <f>'Non-personnel'!N25</f>
        <v>0</v>
      </c>
      <c r="G136" s="476">
        <f>'Non-personnel'!P25</f>
        <v>0</v>
      </c>
      <c r="H136" s="476">
        <f>SUM(C136:G136)</f>
        <v>0</v>
      </c>
    </row>
    <row r="137" spans="1:8" s="528" customFormat="1" ht="12.95" customHeight="1" x14ac:dyDescent="0.2">
      <c r="A137" s="811" t="s">
        <v>204</v>
      </c>
      <c r="B137" s="812"/>
      <c r="C137" s="495">
        <f>'Non-personnel'!H26</f>
        <v>0</v>
      </c>
      <c r="D137" s="495">
        <f>'Non-personnel'!J26</f>
        <v>0</v>
      </c>
      <c r="E137" s="495">
        <f>'Non-personnel'!L26</f>
        <v>0</v>
      </c>
      <c r="F137" s="495">
        <f>'Non-personnel'!N26</f>
        <v>0</v>
      </c>
      <c r="G137" s="495">
        <f>'Non-personnel'!P26</f>
        <v>0</v>
      </c>
      <c r="H137" s="495">
        <f>SUM(C137:G137)</f>
        <v>0</v>
      </c>
    </row>
    <row r="138" spans="1:8" s="528" customFormat="1" ht="12.95" customHeight="1" x14ac:dyDescent="0.2">
      <c r="A138" s="809" t="s">
        <v>205</v>
      </c>
      <c r="B138" s="810"/>
      <c r="C138" s="495">
        <f>'Non-personnel'!H27</f>
        <v>0</v>
      </c>
      <c r="D138" s="476">
        <f>'Non-personnel'!J27</f>
        <v>0</v>
      </c>
      <c r="E138" s="476">
        <f>'Non-personnel'!L27</f>
        <v>0</v>
      </c>
      <c r="F138" s="476">
        <f>'Non-personnel'!N27</f>
        <v>0</v>
      </c>
      <c r="G138" s="476">
        <f>'Non-personnel'!P27</f>
        <v>0</v>
      </c>
      <c r="H138" s="476">
        <f>SUM(C138:G138)</f>
        <v>0</v>
      </c>
    </row>
    <row r="139" spans="1:8" s="528" customFormat="1" ht="12.95" customHeight="1" x14ac:dyDescent="0.2">
      <c r="A139" s="809" t="s">
        <v>206</v>
      </c>
      <c r="B139" s="810"/>
      <c r="C139" s="476">
        <f>'Non-personnel'!H28</f>
        <v>0</v>
      </c>
      <c r="D139" s="476">
        <f>'Non-personnel'!J28</f>
        <v>0</v>
      </c>
      <c r="E139" s="476">
        <f>'Non-personnel'!L28</f>
        <v>0</v>
      </c>
      <c r="F139" s="476">
        <f>'Non-personnel'!N28</f>
        <v>0</v>
      </c>
      <c r="G139" s="476">
        <f>'Non-personnel'!P28</f>
        <v>0</v>
      </c>
      <c r="H139" s="476">
        <f>SUM(C139:G139)</f>
        <v>0</v>
      </c>
    </row>
    <row r="140" spans="1:8" s="528" customFormat="1" ht="14.45" customHeight="1" thickBot="1" x14ac:dyDescent="0.3">
      <c r="A140" s="817" t="s">
        <v>173</v>
      </c>
      <c r="B140" s="818"/>
      <c r="C140" s="501">
        <f>'Non-personnel'!H29</f>
        <v>0</v>
      </c>
      <c r="D140" s="501">
        <f>'Non-personnel'!J29</f>
        <v>0</v>
      </c>
      <c r="E140" s="501">
        <f>'Non-personnel'!L29</f>
        <v>0</v>
      </c>
      <c r="F140" s="501">
        <f>'Non-personnel'!N29</f>
        <v>0</v>
      </c>
      <c r="G140" s="501">
        <f>'Non-personnel'!P29</f>
        <v>0</v>
      </c>
      <c r="H140" s="491">
        <f>SUM(C140:G140)</f>
        <v>0</v>
      </c>
    </row>
    <row r="141" spans="1:8" ht="13.5" thickTop="1" x14ac:dyDescent="0.2">
      <c r="A141" s="78"/>
      <c r="B141" s="78"/>
      <c r="C141" s="116"/>
      <c r="D141" s="116"/>
      <c r="E141" s="116"/>
      <c r="F141" s="116"/>
      <c r="G141" s="116"/>
      <c r="H141" s="112"/>
    </row>
    <row r="142" spans="1:8" s="528" customFormat="1" ht="14.45" customHeight="1" x14ac:dyDescent="0.25">
      <c r="A142" s="819" t="s">
        <v>174</v>
      </c>
      <c r="B142" s="833"/>
      <c r="C142" s="492" t="s">
        <v>35</v>
      </c>
      <c r="D142" s="492" t="s">
        <v>36</v>
      </c>
      <c r="E142" s="492" t="s">
        <v>37</v>
      </c>
      <c r="F142" s="492" t="s">
        <v>38</v>
      </c>
      <c r="G142" s="492" t="s">
        <v>39</v>
      </c>
      <c r="H142" s="493" t="s">
        <v>40</v>
      </c>
    </row>
    <row r="143" spans="1:8" s="528" customFormat="1" ht="12.95" customHeight="1" x14ac:dyDescent="0.2">
      <c r="A143" s="801" t="s">
        <v>207</v>
      </c>
      <c r="B143" s="802"/>
      <c r="C143" s="476">
        <f>'Non-personnel'!H34</f>
        <v>0</v>
      </c>
      <c r="D143" s="476">
        <f>'Non-personnel'!J34</f>
        <v>0</v>
      </c>
      <c r="E143" s="476">
        <f>'Non-personnel'!L34</f>
        <v>0</v>
      </c>
      <c r="F143" s="476">
        <f>'Non-personnel'!N34</f>
        <v>0</v>
      </c>
      <c r="G143" s="476">
        <f>'Non-personnel'!P34</f>
        <v>0</v>
      </c>
      <c r="H143" s="476">
        <f>SUM(C143:G143)</f>
        <v>0</v>
      </c>
    </row>
    <row r="144" spans="1:8" s="528" customFormat="1" ht="12.95" customHeight="1" x14ac:dyDescent="0.2">
      <c r="A144" s="801" t="s">
        <v>208</v>
      </c>
      <c r="B144" s="802"/>
      <c r="C144" s="476">
        <f>'Non-personnel'!H36</f>
        <v>0</v>
      </c>
      <c r="D144" s="476">
        <f>'Non-personnel'!J36</f>
        <v>0</v>
      </c>
      <c r="E144" s="476">
        <f>'Non-personnel'!L36</f>
        <v>0</v>
      </c>
      <c r="F144" s="476">
        <f>'Non-personnel'!N36</f>
        <v>0</v>
      </c>
      <c r="G144" s="476">
        <f>'Non-personnel'!P36</f>
        <v>0</v>
      </c>
      <c r="H144" s="476">
        <f>SUM(C144:G144)</f>
        <v>0</v>
      </c>
    </row>
    <row r="145" spans="1:8" s="528" customFormat="1" ht="14.25" hidden="1" x14ac:dyDescent="0.2">
      <c r="A145" s="801" t="s">
        <v>209</v>
      </c>
      <c r="B145" s="802"/>
      <c r="C145" s="495"/>
      <c r="D145" s="495"/>
      <c r="E145" s="495"/>
      <c r="F145" s="495"/>
      <c r="G145" s="495"/>
      <c r="H145" s="495"/>
    </row>
    <row r="146" spans="1:8" s="528" customFormat="1" ht="14.25" hidden="1" x14ac:dyDescent="0.2">
      <c r="A146" s="784" t="s">
        <v>210</v>
      </c>
      <c r="B146" s="785"/>
      <c r="C146" s="476">
        <f>C202</f>
        <v>0</v>
      </c>
      <c r="D146" s="476">
        <f>D202</f>
        <v>0</v>
      </c>
      <c r="E146" s="476">
        <f>E202</f>
        <v>0</v>
      </c>
      <c r="F146" s="476">
        <f>F202</f>
        <v>0</v>
      </c>
      <c r="G146" s="476">
        <f>G202</f>
        <v>0</v>
      </c>
      <c r="H146" s="476">
        <f>SUM(C146:G146)</f>
        <v>0</v>
      </c>
    </row>
    <row r="147" spans="1:8" s="528" customFormat="1" ht="14.25" hidden="1" x14ac:dyDescent="0.2">
      <c r="A147" s="784" t="s">
        <v>211</v>
      </c>
      <c r="B147" s="785"/>
      <c r="C147" s="476">
        <f>C201-C202</f>
        <v>0</v>
      </c>
      <c r="D147" s="476">
        <f>D201-D202</f>
        <v>0</v>
      </c>
      <c r="E147" s="476">
        <f>E201-E202</f>
        <v>0</v>
      </c>
      <c r="F147" s="476">
        <f>F201-F202</f>
        <v>0</v>
      </c>
      <c r="G147" s="476">
        <f>G201-G202</f>
        <v>0</v>
      </c>
      <c r="H147" s="476">
        <f>SUM(C147:G147)</f>
        <v>0</v>
      </c>
    </row>
    <row r="148" spans="1:8" s="528" customFormat="1" ht="12.95" customHeight="1" x14ac:dyDescent="0.2">
      <c r="A148" s="801" t="s">
        <v>518</v>
      </c>
      <c r="B148" s="802"/>
      <c r="C148" s="476">
        <f>'Non-personnel'!H40</f>
        <v>0</v>
      </c>
      <c r="D148" s="476">
        <f>'Non-personnel'!J40</f>
        <v>0</v>
      </c>
      <c r="E148" s="476">
        <f>'Non-personnel'!L40</f>
        <v>0</v>
      </c>
      <c r="F148" s="476">
        <f>'Non-personnel'!N40</f>
        <v>0</v>
      </c>
      <c r="G148" s="476">
        <f>'Non-personnel'!P40</f>
        <v>0</v>
      </c>
      <c r="H148" s="476">
        <f>SUM(C148:G148)</f>
        <v>0</v>
      </c>
    </row>
    <row r="149" spans="1:8" s="528" customFormat="1" ht="12.95" customHeight="1" x14ac:dyDescent="0.2">
      <c r="A149" s="801" t="s">
        <v>519</v>
      </c>
      <c r="B149" s="802"/>
      <c r="C149" s="476"/>
      <c r="D149" s="476"/>
      <c r="E149" s="476"/>
      <c r="F149" s="476"/>
      <c r="G149" s="476"/>
      <c r="H149" s="476"/>
    </row>
    <row r="150" spans="1:8" s="528" customFormat="1" ht="12.95" customHeight="1" x14ac:dyDescent="0.2">
      <c r="A150" s="784" t="s">
        <v>212</v>
      </c>
      <c r="B150" s="785"/>
      <c r="C150" s="476">
        <f>'Non-personnel'!H35</f>
        <v>0</v>
      </c>
      <c r="D150" s="476">
        <f>'Non-personnel'!J35</f>
        <v>0</v>
      </c>
      <c r="E150" s="476">
        <f>'Non-personnel'!L35</f>
        <v>0</v>
      </c>
      <c r="F150" s="476">
        <f>'Non-personnel'!N35</f>
        <v>0</v>
      </c>
      <c r="G150" s="476">
        <f>'Non-personnel'!P35</f>
        <v>0</v>
      </c>
      <c r="H150" s="476">
        <f t="shared" ref="H150:H163" si="7">SUM(C150:G150)</f>
        <v>0</v>
      </c>
    </row>
    <row r="151" spans="1:8" s="528" customFormat="1" ht="12.95" customHeight="1" x14ac:dyDescent="0.2">
      <c r="A151" s="799" t="s">
        <v>213</v>
      </c>
      <c r="B151" s="800"/>
      <c r="C151" s="476">
        <f>'Non-personnel'!H37</f>
        <v>0</v>
      </c>
      <c r="D151" s="476">
        <f>'Non-personnel'!J37</f>
        <v>0</v>
      </c>
      <c r="E151" s="476">
        <f>'Non-personnel'!L37</f>
        <v>0</v>
      </c>
      <c r="F151" s="476">
        <f>'Non-personnel'!N37</f>
        <v>0</v>
      </c>
      <c r="G151" s="476">
        <f>'Non-personnel'!P37</f>
        <v>0</v>
      </c>
      <c r="H151" s="476">
        <f t="shared" si="7"/>
        <v>0</v>
      </c>
    </row>
    <row r="152" spans="1:8" s="528" customFormat="1" ht="12.95" customHeight="1" x14ac:dyDescent="0.2">
      <c r="A152" s="784" t="s">
        <v>406</v>
      </c>
      <c r="B152" s="785"/>
      <c r="C152" s="476">
        <f>'Non-personnel'!H39</f>
        <v>0</v>
      </c>
      <c r="D152" s="476">
        <f>'Non-personnel'!J39</f>
        <v>0</v>
      </c>
      <c r="E152" s="476">
        <f>'Non-personnel'!L39</f>
        <v>0</v>
      </c>
      <c r="F152" s="476">
        <f>'Non-personnel'!N39</f>
        <v>0</v>
      </c>
      <c r="G152" s="476">
        <f>'Non-personnel'!P39</f>
        <v>0</v>
      </c>
      <c r="H152" s="476">
        <f t="shared" si="7"/>
        <v>0</v>
      </c>
    </row>
    <row r="153" spans="1:8" s="528" customFormat="1" ht="14.25" hidden="1" x14ac:dyDescent="0.2">
      <c r="A153" s="797" t="s">
        <v>433</v>
      </c>
      <c r="B153" s="798"/>
      <c r="C153" s="495">
        <f>'Non-personnel'!H41</f>
        <v>0</v>
      </c>
      <c r="D153" s="495">
        <f>'Non-personnel'!J41</f>
        <v>0</v>
      </c>
      <c r="E153" s="495">
        <f>'Non-personnel'!L41</f>
        <v>0</v>
      </c>
      <c r="F153" s="495">
        <f>'Non-personnel'!N41</f>
        <v>0</v>
      </c>
      <c r="G153" s="495">
        <f>'Non-personnel'!P41</f>
        <v>0</v>
      </c>
      <c r="H153" s="495">
        <f>SUM(C153:G153)</f>
        <v>0</v>
      </c>
    </row>
    <row r="154" spans="1:8" s="528" customFormat="1" ht="14.25" hidden="1" x14ac:dyDescent="0.2">
      <c r="A154" s="797" t="s">
        <v>427</v>
      </c>
      <c r="B154" s="798"/>
      <c r="C154" s="495">
        <f>'Non-personnel'!H42</f>
        <v>0</v>
      </c>
      <c r="D154" s="495">
        <f>'Non-personnel'!J42</f>
        <v>0</v>
      </c>
      <c r="E154" s="495">
        <f>'Non-personnel'!L42</f>
        <v>0</v>
      </c>
      <c r="F154" s="495">
        <f>'Non-personnel'!N42</f>
        <v>0</v>
      </c>
      <c r="G154" s="495">
        <f>'Non-personnel'!P42</f>
        <v>0</v>
      </c>
      <c r="H154" s="495">
        <f t="shared" ref="H154:H155" si="8">SUM(C154:G154)</f>
        <v>0</v>
      </c>
    </row>
    <row r="155" spans="1:8" s="528" customFormat="1" ht="12.95" customHeight="1" x14ac:dyDescent="0.2">
      <c r="A155" s="797" t="s">
        <v>521</v>
      </c>
      <c r="B155" s="798"/>
      <c r="C155" s="495">
        <f>'Non-personnel'!H43</f>
        <v>0</v>
      </c>
      <c r="D155" s="495">
        <f>'Non-personnel'!J43</f>
        <v>0</v>
      </c>
      <c r="E155" s="495">
        <f>'Non-personnel'!L43</f>
        <v>0</v>
      </c>
      <c r="F155" s="495">
        <f>'Non-personnel'!N43</f>
        <v>0</v>
      </c>
      <c r="G155" s="495">
        <f>'Non-personnel'!P43</f>
        <v>0</v>
      </c>
      <c r="H155" s="495">
        <f t="shared" si="8"/>
        <v>0</v>
      </c>
    </row>
    <row r="156" spans="1:8" s="528" customFormat="1" ht="12.95" customHeight="1" x14ac:dyDescent="0.2">
      <c r="A156" s="784" t="str">
        <f>"e) " &amp; 'Non-personnel'!B44</f>
        <v>e) Other - Describe</v>
      </c>
      <c r="B156" s="785"/>
      <c r="C156" s="476">
        <f>'Non-personnel'!H44</f>
        <v>0</v>
      </c>
      <c r="D156" s="476">
        <f>'Non-personnel'!J44</f>
        <v>0</v>
      </c>
      <c r="E156" s="476">
        <f>'Non-personnel'!L44</f>
        <v>0</v>
      </c>
      <c r="F156" s="476">
        <f>'Non-personnel'!N44</f>
        <v>0</v>
      </c>
      <c r="G156" s="476">
        <f>'Non-personnel'!P44</f>
        <v>0</v>
      </c>
      <c r="H156" s="476">
        <f>SUM(C156:G156)</f>
        <v>0</v>
      </c>
    </row>
    <row r="157" spans="1:8" s="528" customFormat="1" ht="12.95" customHeight="1" x14ac:dyDescent="0.2">
      <c r="A157" s="784" t="str">
        <f>"f)  " &amp; 'Non-personnel'!B45</f>
        <v>f)  Other - Describe</v>
      </c>
      <c r="B157" s="785"/>
      <c r="C157" s="476">
        <f>'Non-personnel'!H45</f>
        <v>0</v>
      </c>
      <c r="D157" s="476">
        <f>'Non-personnel'!J45</f>
        <v>0</v>
      </c>
      <c r="E157" s="476">
        <f>'Non-personnel'!L45</f>
        <v>0</v>
      </c>
      <c r="F157" s="476">
        <f>'Non-personnel'!N45</f>
        <v>0</v>
      </c>
      <c r="G157" s="476">
        <f>'Non-personnel'!P45</f>
        <v>0</v>
      </c>
      <c r="H157" s="476">
        <f t="shared" ref="H157" si="9">SUM(C157:G157)</f>
        <v>0</v>
      </c>
    </row>
    <row r="158" spans="1:8" s="528" customFormat="1" ht="12.95" customHeight="1" x14ac:dyDescent="0.2">
      <c r="A158" s="784" t="str">
        <f>"g) " &amp; 'Non-personnel'!B46</f>
        <v>g) Other - Describe</v>
      </c>
      <c r="B158" s="785"/>
      <c r="C158" s="476">
        <f>'Non-personnel'!H46</f>
        <v>0</v>
      </c>
      <c r="D158" s="476">
        <f>'Non-personnel'!J46</f>
        <v>0</v>
      </c>
      <c r="E158" s="476">
        <f>'Non-personnel'!L46</f>
        <v>0</v>
      </c>
      <c r="F158" s="476">
        <f>'Non-personnel'!N46</f>
        <v>0</v>
      </c>
      <c r="G158" s="476">
        <f>'Non-personnel'!P46</f>
        <v>0</v>
      </c>
      <c r="H158" s="476">
        <f>SUM(C158:G158)</f>
        <v>0</v>
      </c>
    </row>
    <row r="159" spans="1:8" s="528" customFormat="1" ht="12.95" customHeight="1" x14ac:dyDescent="0.2">
      <c r="A159" s="784" t="str">
        <f>"h) " &amp; 'Non-personnel'!B47</f>
        <v>h) Other - Describe</v>
      </c>
      <c r="B159" s="785"/>
      <c r="C159" s="476">
        <f>'Non-personnel'!H47</f>
        <v>0</v>
      </c>
      <c r="D159" s="476">
        <f>'Non-personnel'!J47</f>
        <v>0</v>
      </c>
      <c r="E159" s="476">
        <f>'Non-personnel'!L47</f>
        <v>0</v>
      </c>
      <c r="F159" s="476">
        <f>'Non-personnel'!N47</f>
        <v>0</v>
      </c>
      <c r="G159" s="476">
        <f>'Non-personnel'!P47</f>
        <v>0</v>
      </c>
      <c r="H159" s="476">
        <f t="shared" si="7"/>
        <v>0</v>
      </c>
    </row>
    <row r="160" spans="1:8" s="528" customFormat="1" ht="14.45" customHeight="1" x14ac:dyDescent="0.25">
      <c r="A160" s="792"/>
      <c r="B160" s="793"/>
      <c r="C160" s="490">
        <f>SUM(C156,C157,C158,C159)</f>
        <v>0</v>
      </c>
      <c r="D160" s="490">
        <f t="shared" ref="D160:G160" si="10">SUM(D156,D157,D158,D159)</f>
        <v>0</v>
      </c>
      <c r="E160" s="490">
        <f t="shared" si="10"/>
        <v>0</v>
      </c>
      <c r="F160" s="490">
        <f t="shared" si="10"/>
        <v>0</v>
      </c>
      <c r="G160" s="490">
        <f t="shared" si="10"/>
        <v>0</v>
      </c>
      <c r="H160" s="490">
        <f t="shared" si="7"/>
        <v>0</v>
      </c>
    </row>
    <row r="161" spans="1:14" s="528" customFormat="1" ht="15" hidden="1" x14ac:dyDescent="0.25">
      <c r="A161" s="805" t="s">
        <v>186</v>
      </c>
      <c r="B161" s="807"/>
      <c r="C161" s="502">
        <f>SUM(C143,C144,C146,C150,C151,C155,C156,C157,C158,C159)</f>
        <v>0</v>
      </c>
      <c r="D161" s="502">
        <f>SUM(D143,D144,D146,D150,D151,D155,D156,D157,D158,D159)</f>
        <v>0</v>
      </c>
      <c r="E161" s="502">
        <f>SUM(E143,E144,E146,E150,E151,E155,E156,E157,E158,E159)</f>
        <v>0</v>
      </c>
      <c r="F161" s="502">
        <f>SUM(F143,F144,F146,F150,F151,F155,F156,F157,F158,F159)</f>
        <v>0</v>
      </c>
      <c r="G161" s="502">
        <f>SUM(G143,G144,G146,G150,G151,G155,G156,G157,G158,G159)</f>
        <v>0</v>
      </c>
      <c r="H161" s="490">
        <f t="shared" si="7"/>
        <v>0</v>
      </c>
    </row>
    <row r="162" spans="1:14" s="528" customFormat="1" ht="15" hidden="1" x14ac:dyDescent="0.25">
      <c r="A162" s="805" t="s">
        <v>187</v>
      </c>
      <c r="B162" s="806"/>
      <c r="C162" s="502">
        <f>SUM(C147,C148,C152,C153,C154)</f>
        <v>0</v>
      </c>
      <c r="D162" s="502">
        <f t="shared" ref="D162:G162" si="11">SUM(D147,D148,D152,D153,D154)</f>
        <v>0</v>
      </c>
      <c r="E162" s="502">
        <f t="shared" si="11"/>
        <v>0</v>
      </c>
      <c r="F162" s="502">
        <f t="shared" si="11"/>
        <v>0</v>
      </c>
      <c r="G162" s="502">
        <f t="shared" si="11"/>
        <v>0</v>
      </c>
      <c r="H162" s="490">
        <f t="shared" si="7"/>
        <v>0</v>
      </c>
    </row>
    <row r="163" spans="1:14" s="528" customFormat="1" ht="14.45" customHeight="1" thickBot="1" x14ac:dyDescent="0.3">
      <c r="A163" s="843" t="s">
        <v>188</v>
      </c>
      <c r="B163" s="844"/>
      <c r="C163" s="501">
        <f>SUM(C161:C162)</f>
        <v>0</v>
      </c>
      <c r="D163" s="501">
        <f>SUM(D161:D162)</f>
        <v>0</v>
      </c>
      <c r="E163" s="501">
        <f>SUM(E161:E162)</f>
        <v>0</v>
      </c>
      <c r="F163" s="501">
        <f>SUM(F161:F162)</f>
        <v>0</v>
      </c>
      <c r="G163" s="501">
        <f>SUM(G161:G162)</f>
        <v>0</v>
      </c>
      <c r="H163" s="491">
        <f t="shared" si="7"/>
        <v>0</v>
      </c>
    </row>
    <row r="164" spans="1:14" s="528" customFormat="1" ht="15" thickTop="1" x14ac:dyDescent="0.2">
      <c r="A164" s="503"/>
      <c r="B164" s="504"/>
      <c r="C164" s="504"/>
      <c r="D164" s="504"/>
      <c r="E164" s="504"/>
      <c r="F164" s="504"/>
      <c r="G164" s="504"/>
      <c r="H164" s="504"/>
    </row>
    <row r="165" spans="1:14" s="528" customFormat="1" ht="15" hidden="1" x14ac:dyDescent="0.25">
      <c r="A165" s="803" t="s">
        <v>189</v>
      </c>
      <c r="B165" s="804"/>
      <c r="C165" s="492"/>
      <c r="D165" s="492"/>
      <c r="E165" s="492"/>
      <c r="F165" s="492"/>
      <c r="G165" s="492"/>
      <c r="H165" s="492"/>
    </row>
    <row r="166" spans="1:14" s="528" customFormat="1" ht="15" hidden="1" x14ac:dyDescent="0.25">
      <c r="A166" s="505"/>
      <c r="B166" s="506"/>
      <c r="C166" s="492" t="s">
        <v>35</v>
      </c>
      <c r="D166" s="492" t="s">
        <v>36</v>
      </c>
      <c r="E166" s="492" t="s">
        <v>37</v>
      </c>
      <c r="F166" s="492" t="s">
        <v>38</v>
      </c>
      <c r="G166" s="492" t="s">
        <v>39</v>
      </c>
      <c r="H166" s="493" t="s">
        <v>40</v>
      </c>
      <c r="K166" s="533"/>
      <c r="N166" s="534"/>
    </row>
    <row r="167" spans="1:14" s="528" customFormat="1" ht="15" hidden="1" x14ac:dyDescent="0.25">
      <c r="A167" s="507" t="str">
        <f>'Non-personnel'!B57</f>
        <v>MTDC-NonFed</v>
      </c>
      <c r="B167" s="508" t="s">
        <v>190</v>
      </c>
      <c r="C167" s="509">
        <f>IF(AND('Non-personnel'!F57&lt;&gt;"",NOT(ISBLANK('Non-personnel'!F57))),IFERROR(LOOKUP('Non-personnel'!C57,IDCDesc,IDCRate),'Non-personnel'!C57),"")</f>
        <v>0</v>
      </c>
      <c r="D167" s="509" t="str">
        <f>IF(AND('Non-personnel'!F58&lt;&gt;"",NOT(ISBLANK('Non-personnel'!F58))),IFERROR(LOOKUP('Non-personnel'!C58,IDCDesc2,IDCRate2),'Non-personnel'!C58),"")</f>
        <v/>
      </c>
      <c r="E167" s="509" t="str">
        <f>IF(AND('Non-personnel'!F59&lt;&gt;"",NOT(ISBLANK('Non-personnel'!F59))),IFERROR(LOOKUP('Non-personnel'!C59,IDCDesc2,IDCRate2),'Non-personnel'!C59),"")</f>
        <v/>
      </c>
      <c r="F167" s="509" t="str">
        <f>IF(AND('Non-personnel'!F60&lt;&gt;"",NOT(ISBLANK('Non-personnel'!F60))),IFERROR(LOOKUP('Non-personnel'!C60,IDCDesc2,IDCRate2),'Non-personnel'!C60),"")</f>
        <v/>
      </c>
      <c r="G167" s="509" t="str">
        <f>IF(AND('Non-personnel'!F61&lt;&gt;"",NOT(ISBLANK('Non-personnel'!F61))),IFERROR(LOOKUP('Non-personnel'!C61,IDCDesc2,IDCRate2),'Non-personnel'!C61),"")</f>
        <v/>
      </c>
      <c r="H167" s="510"/>
    </row>
    <row r="168" spans="1:14" s="528" customFormat="1" ht="14.25" hidden="1" x14ac:dyDescent="0.2">
      <c r="A168" s="834" t="s">
        <v>191</v>
      </c>
      <c r="B168" s="835"/>
      <c r="C168" s="511">
        <f>SUM('Non-personnel'!F57)</f>
        <v>0</v>
      </c>
      <c r="D168" s="511">
        <f>SUM('Non-personnel'!F58)</f>
        <v>0</v>
      </c>
      <c r="E168" s="511">
        <f>SUM('Non-personnel'!F59)</f>
        <v>0</v>
      </c>
      <c r="F168" s="511">
        <f>SUM('Non-personnel'!F60)</f>
        <v>0</v>
      </c>
      <c r="G168" s="511">
        <f>SUM('Non-personnel'!F61)</f>
        <v>0</v>
      </c>
      <c r="H168" s="512">
        <f>SUM(C168:G168)</f>
        <v>0</v>
      </c>
    </row>
    <row r="169" spans="1:14" s="528" customFormat="1" ht="15" hidden="1" thickBot="1" x14ac:dyDescent="0.25">
      <c r="A169" s="788" t="s">
        <v>192</v>
      </c>
      <c r="B169" s="789"/>
      <c r="C169" s="513">
        <f>C171-C168</f>
        <v>0</v>
      </c>
      <c r="D169" s="513">
        <f>D171-D168</f>
        <v>0</v>
      </c>
      <c r="E169" s="513">
        <f>E171-E168</f>
        <v>0</v>
      </c>
      <c r="F169" s="513">
        <f>F171-F168</f>
        <v>0</v>
      </c>
      <c r="G169" s="513">
        <f>G171-G168</f>
        <v>0</v>
      </c>
      <c r="H169" s="514">
        <f>SUM(C169:G169)</f>
        <v>0</v>
      </c>
      <c r="I169" s="522"/>
    </row>
    <row r="170" spans="1:14" s="528" customFormat="1" ht="15" hidden="1" thickTop="1" x14ac:dyDescent="0.2">
      <c r="A170" s="515"/>
      <c r="B170" s="515"/>
      <c r="C170" s="515"/>
      <c r="D170" s="515"/>
      <c r="E170" s="515"/>
      <c r="F170" s="515"/>
      <c r="G170" s="515"/>
      <c r="H170" s="515"/>
    </row>
    <row r="171" spans="1:14" s="528" customFormat="1" ht="15.75" hidden="1" thickBot="1" x14ac:dyDescent="0.3">
      <c r="A171" s="817" t="s">
        <v>193</v>
      </c>
      <c r="B171" s="818"/>
      <c r="C171" s="501">
        <f>'Non-personnel'!H52</f>
        <v>0</v>
      </c>
      <c r="D171" s="501">
        <f>'Non-personnel'!J52</f>
        <v>0</v>
      </c>
      <c r="E171" s="501">
        <f>'Non-personnel'!L52</f>
        <v>0</v>
      </c>
      <c r="F171" s="501">
        <f>'Non-personnel'!N52</f>
        <v>0</v>
      </c>
      <c r="G171" s="501">
        <f>'Non-personnel'!P52</f>
        <v>0</v>
      </c>
      <c r="H171" s="491">
        <f>SUM(C171:G171)</f>
        <v>0</v>
      </c>
    </row>
    <row r="172" spans="1:14" s="528" customFormat="1" ht="15" hidden="1" thickTop="1" x14ac:dyDescent="0.2">
      <c r="A172" s="516"/>
      <c r="B172" s="517"/>
      <c r="C172" s="518"/>
      <c r="D172" s="519"/>
      <c r="E172" s="518"/>
      <c r="F172" s="518"/>
      <c r="G172" s="518"/>
      <c r="H172" s="518"/>
    </row>
    <row r="173" spans="1:14" s="528" customFormat="1" ht="15.75" hidden="1" thickBot="1" x14ac:dyDescent="0.3">
      <c r="A173" s="836" t="s">
        <v>194</v>
      </c>
      <c r="B173" s="837"/>
      <c r="C173" s="520">
        <f>'Non-personnel'!H62</f>
        <v>0</v>
      </c>
      <c r="D173" s="520">
        <f>'Non-personnel'!J62</f>
        <v>0</v>
      </c>
      <c r="E173" s="520">
        <f>'Non-personnel'!L62</f>
        <v>0</v>
      </c>
      <c r="F173" s="520">
        <f>'Non-personnel'!N62</f>
        <v>0</v>
      </c>
      <c r="G173" s="520">
        <f>'Non-personnel'!P62</f>
        <v>0</v>
      </c>
      <c r="H173" s="521">
        <f>SUM(C173:G173)</f>
        <v>0</v>
      </c>
    </row>
    <row r="174" spans="1:14" s="528" customFormat="1" ht="15" hidden="1" thickTop="1" x14ac:dyDescent="0.2">
      <c r="A174" s="522"/>
      <c r="B174" s="523"/>
      <c r="C174" s="518"/>
      <c r="D174" s="519"/>
      <c r="E174" s="518"/>
      <c r="F174" s="518"/>
      <c r="G174" s="518"/>
      <c r="H174" s="518"/>
    </row>
    <row r="175" spans="1:14" s="528" customFormat="1" ht="15.75" hidden="1" thickBot="1" x14ac:dyDescent="0.3">
      <c r="A175" s="817" t="s">
        <v>196</v>
      </c>
      <c r="B175" s="818"/>
      <c r="C175" s="501">
        <f>'Non-personnel'!H66</f>
        <v>0</v>
      </c>
      <c r="D175" s="501">
        <f>'Non-personnel'!J66</f>
        <v>0</v>
      </c>
      <c r="E175" s="501">
        <f>'Non-personnel'!L66</f>
        <v>0</v>
      </c>
      <c r="F175" s="501">
        <f>'Non-personnel'!N66</f>
        <v>0</v>
      </c>
      <c r="G175" s="501">
        <f>'Non-personnel'!P66</f>
        <v>0</v>
      </c>
      <c r="H175" s="491">
        <f>SUM(C175:G175)</f>
        <v>0</v>
      </c>
    </row>
    <row r="176" spans="1:14" s="528" customFormat="1" ht="15" hidden="1" thickBot="1" x14ac:dyDescent="0.25">
      <c r="A176" s="838" t="s">
        <v>197</v>
      </c>
      <c r="B176" s="839"/>
      <c r="C176" s="524">
        <v>0</v>
      </c>
      <c r="D176" s="524">
        <v>0</v>
      </c>
      <c r="E176" s="524">
        <v>0</v>
      </c>
      <c r="F176" s="524">
        <v>0</v>
      </c>
      <c r="G176" s="524">
        <v>0</v>
      </c>
      <c r="H176" s="524">
        <f>SUM(C176:G176)</f>
        <v>0</v>
      </c>
    </row>
    <row r="177" spans="1:8" s="528" customFormat="1" ht="15" hidden="1" thickTop="1" x14ac:dyDescent="0.2">
      <c r="A177" s="525"/>
      <c r="B177" s="526"/>
      <c r="C177" s="527"/>
      <c r="D177" s="527"/>
      <c r="E177" s="527"/>
      <c r="F177" s="527"/>
      <c r="G177" s="527"/>
      <c r="H177" s="527"/>
    </row>
    <row r="178" spans="1:8" s="528" customFormat="1" ht="14.45" customHeight="1" thickBot="1" x14ac:dyDescent="0.3">
      <c r="A178" s="840" t="s">
        <v>520</v>
      </c>
      <c r="B178" s="841"/>
      <c r="C178" s="501">
        <f>C175</f>
        <v>0</v>
      </c>
      <c r="D178" s="501">
        <f>D175</f>
        <v>0</v>
      </c>
      <c r="E178" s="501">
        <f>E175</f>
        <v>0</v>
      </c>
      <c r="F178" s="501">
        <f>F175</f>
        <v>0</v>
      </c>
      <c r="G178" s="501">
        <f>G175</f>
        <v>0</v>
      </c>
      <c r="H178" s="491">
        <f>SUM(C178:G178)</f>
        <v>0</v>
      </c>
    </row>
    <row r="179" spans="1:8" ht="13.5" hidden="1" thickTop="1" x14ac:dyDescent="0.2">
      <c r="A179" s="117"/>
      <c r="B179" s="117"/>
      <c r="C179" s="117"/>
      <c r="D179" s="117"/>
      <c r="E179" s="117"/>
      <c r="F179" s="117"/>
      <c r="G179" s="117"/>
      <c r="H179" s="117"/>
    </row>
    <row r="180" spans="1:8" ht="16.5" hidden="1" thickTop="1" x14ac:dyDescent="0.25">
      <c r="A180" s="842" t="s">
        <v>198</v>
      </c>
      <c r="B180" s="842"/>
      <c r="C180" s="83" t="s">
        <v>35</v>
      </c>
      <c r="D180" s="83" t="s">
        <v>36</v>
      </c>
      <c r="E180" s="83" t="s">
        <v>37</v>
      </c>
      <c r="F180" s="83" t="s">
        <v>38</v>
      </c>
      <c r="G180" s="83" t="s">
        <v>39</v>
      </c>
      <c r="H180" s="83" t="s">
        <v>40</v>
      </c>
    </row>
    <row r="181" spans="1:8" ht="13.5" hidden="1" thickTop="1" x14ac:dyDescent="0.2">
      <c r="A181" s="790" t="str">
        <f>IF(ISBLANK('Non-personnel'!B70),"",'Non-personnel'!B70)</f>
        <v/>
      </c>
      <c r="B181" s="118" t="s">
        <v>40</v>
      </c>
      <c r="C181" s="130">
        <f>SUM('Non-personnel'!H70,'Non-personnel'!I70)</f>
        <v>0</v>
      </c>
      <c r="D181" s="130">
        <f>SUM('Non-personnel'!J70,'Non-personnel'!K70)</f>
        <v>0</v>
      </c>
      <c r="E181" s="130">
        <f>SUM('Non-personnel'!L70,'Non-personnel'!M70)</f>
        <v>0</v>
      </c>
      <c r="F181" s="130">
        <f>SUM('Non-personnel'!N70,'Non-personnel'!O70)</f>
        <v>0</v>
      </c>
      <c r="G181" s="130">
        <f>SUM('Non-personnel'!P70,'Non-personnel'!Q70)</f>
        <v>0</v>
      </c>
      <c r="H181" s="131">
        <f t="shared" ref="H181:H202" si="12">SUM(C181:G181)</f>
        <v>0</v>
      </c>
    </row>
    <row r="182" spans="1:8" ht="13.5" hidden="1" thickTop="1" x14ac:dyDescent="0.2">
      <c r="A182" s="791"/>
      <c r="B182" s="119" t="s">
        <v>199</v>
      </c>
      <c r="C182" s="130">
        <f>'Non-personnel'!H71</f>
        <v>0</v>
      </c>
      <c r="D182" s="130">
        <f>'Non-personnel'!J71</f>
        <v>0</v>
      </c>
      <c r="E182" s="130">
        <f>'Non-personnel'!L71</f>
        <v>0</v>
      </c>
      <c r="F182" s="130">
        <f>'Non-personnel'!N71</f>
        <v>0</v>
      </c>
      <c r="G182" s="130">
        <f>'Non-personnel'!P71</f>
        <v>0</v>
      </c>
      <c r="H182" s="132">
        <f t="shared" si="12"/>
        <v>0</v>
      </c>
    </row>
    <row r="183" spans="1:8" ht="13.5" hidden="1" thickTop="1" x14ac:dyDescent="0.2">
      <c r="A183" s="790" t="str">
        <f>IF(ISBLANK('Non-personnel'!B72),"",'Non-personnel'!B72)</f>
        <v/>
      </c>
      <c r="B183" s="119" t="s">
        <v>40</v>
      </c>
      <c r="C183" s="130">
        <f>SUM('Non-personnel'!H72,'Non-personnel'!I72)</f>
        <v>0</v>
      </c>
      <c r="D183" s="130">
        <f>SUM('Non-personnel'!J72,'Non-personnel'!K72)</f>
        <v>0</v>
      </c>
      <c r="E183" s="130">
        <f>SUM('Non-personnel'!L72,'Non-personnel'!M72)</f>
        <v>0</v>
      </c>
      <c r="F183" s="130">
        <f>SUM('Non-personnel'!N72,'Non-personnel'!O72)</f>
        <v>0</v>
      </c>
      <c r="G183" s="130">
        <f>SUM('Non-personnel'!P72,'Non-personnel'!Q72)</f>
        <v>0</v>
      </c>
      <c r="H183" s="132">
        <f t="shared" si="12"/>
        <v>0</v>
      </c>
    </row>
    <row r="184" spans="1:8" ht="13.5" hidden="1" thickTop="1" x14ac:dyDescent="0.2">
      <c r="A184" s="791"/>
      <c r="B184" s="119" t="s">
        <v>199</v>
      </c>
      <c r="C184" s="130">
        <f>'Non-personnel'!H73</f>
        <v>0</v>
      </c>
      <c r="D184" s="130">
        <f>'Non-personnel'!J73</f>
        <v>0</v>
      </c>
      <c r="E184" s="130">
        <f>'Non-personnel'!L73</f>
        <v>0</v>
      </c>
      <c r="F184" s="130">
        <f>'Non-personnel'!N73</f>
        <v>0</v>
      </c>
      <c r="G184" s="130">
        <f>'Non-personnel'!P73</f>
        <v>0</v>
      </c>
      <c r="H184" s="132">
        <f t="shared" si="12"/>
        <v>0</v>
      </c>
    </row>
    <row r="185" spans="1:8" ht="13.5" hidden="1" thickTop="1" x14ac:dyDescent="0.2">
      <c r="A185" s="790" t="str">
        <f>IF(ISBLANK('Non-personnel'!B74),"",'Non-personnel'!B74)</f>
        <v/>
      </c>
      <c r="B185" s="120" t="s">
        <v>40</v>
      </c>
      <c r="C185" s="130">
        <f>SUM('Non-personnel'!H74,'Non-personnel'!I74)</f>
        <v>0</v>
      </c>
      <c r="D185" s="130">
        <f>SUM('Non-personnel'!J74,'Non-personnel'!K74)</f>
        <v>0</v>
      </c>
      <c r="E185" s="130">
        <f>SUM('Non-personnel'!L74,'Non-personnel'!M74)</f>
        <v>0</v>
      </c>
      <c r="F185" s="130">
        <f>SUM('Non-personnel'!N74,'Non-personnel'!O74)</f>
        <v>0</v>
      </c>
      <c r="G185" s="130">
        <f>SUM('Non-personnel'!P74,'Non-personnel'!Q74)</f>
        <v>0</v>
      </c>
      <c r="H185" s="132">
        <f t="shared" si="12"/>
        <v>0</v>
      </c>
    </row>
    <row r="186" spans="1:8" ht="13.5" hidden="1" thickTop="1" x14ac:dyDescent="0.2">
      <c r="A186" s="791"/>
      <c r="B186" s="119" t="s">
        <v>199</v>
      </c>
      <c r="C186" s="130">
        <f>'Non-personnel'!H75</f>
        <v>0</v>
      </c>
      <c r="D186" s="130">
        <f>'Non-personnel'!J75</f>
        <v>0</v>
      </c>
      <c r="E186" s="130">
        <f>'Non-personnel'!L75</f>
        <v>0</v>
      </c>
      <c r="F186" s="130">
        <f>'Non-personnel'!N75</f>
        <v>0</v>
      </c>
      <c r="G186" s="130">
        <f>'Non-personnel'!P75</f>
        <v>0</v>
      </c>
      <c r="H186" s="132">
        <f t="shared" si="12"/>
        <v>0</v>
      </c>
    </row>
    <row r="187" spans="1:8" ht="13.5" hidden="1" thickTop="1" x14ac:dyDescent="0.2">
      <c r="A187" s="790" t="str">
        <f>IF(ISBLANK('Non-personnel'!B76),"",'Non-personnel'!B76)</f>
        <v/>
      </c>
      <c r="B187" s="119" t="s">
        <v>40</v>
      </c>
      <c r="C187" s="130">
        <f>SUM('Non-personnel'!H76,'Non-personnel'!I76)</f>
        <v>0</v>
      </c>
      <c r="D187" s="130">
        <f>SUM('Non-personnel'!J76,'Non-personnel'!K76)</f>
        <v>0</v>
      </c>
      <c r="E187" s="130">
        <f>SUM('Non-personnel'!L76,'Non-personnel'!M76)</f>
        <v>0</v>
      </c>
      <c r="F187" s="130">
        <f>SUM('Non-personnel'!N76,'Non-personnel'!O76)</f>
        <v>0</v>
      </c>
      <c r="G187" s="130">
        <f>SUM('Non-personnel'!P76,'Non-personnel'!Q76)</f>
        <v>0</v>
      </c>
      <c r="H187" s="132">
        <f t="shared" si="12"/>
        <v>0</v>
      </c>
    </row>
    <row r="188" spans="1:8" ht="13.5" hidden="1" thickTop="1" x14ac:dyDescent="0.2">
      <c r="A188" s="791"/>
      <c r="B188" s="119" t="s">
        <v>199</v>
      </c>
      <c r="C188" s="130">
        <f>'Non-personnel'!H77</f>
        <v>0</v>
      </c>
      <c r="D188" s="130">
        <f>'Non-personnel'!J77</f>
        <v>0</v>
      </c>
      <c r="E188" s="130">
        <f>'Non-personnel'!L77</f>
        <v>0</v>
      </c>
      <c r="F188" s="130">
        <f>'Non-personnel'!N77</f>
        <v>0</v>
      </c>
      <c r="G188" s="130">
        <f>'Non-personnel'!P77</f>
        <v>0</v>
      </c>
      <c r="H188" s="132">
        <f t="shared" si="12"/>
        <v>0</v>
      </c>
    </row>
    <row r="189" spans="1:8" ht="13.5" hidden="1" thickTop="1" x14ac:dyDescent="0.2">
      <c r="A189" s="790" t="str">
        <f>IF(ISBLANK('Non-personnel'!B78),"",'Non-personnel'!B78)</f>
        <v/>
      </c>
      <c r="B189" s="119" t="s">
        <v>40</v>
      </c>
      <c r="C189" s="130">
        <f>SUM('Non-personnel'!H78,'Non-personnel'!I78)</f>
        <v>0</v>
      </c>
      <c r="D189" s="130">
        <f>SUM('Non-personnel'!J78,'Non-personnel'!K78)</f>
        <v>0</v>
      </c>
      <c r="E189" s="130">
        <f>SUM('Non-personnel'!L78,'Non-personnel'!M78)</f>
        <v>0</v>
      </c>
      <c r="F189" s="130">
        <f>SUM('Non-personnel'!N78,'Non-personnel'!O78)</f>
        <v>0</v>
      </c>
      <c r="G189" s="130">
        <f>SUM('Non-personnel'!P78,'Non-personnel'!Q78)</f>
        <v>0</v>
      </c>
      <c r="H189" s="132">
        <f t="shared" si="12"/>
        <v>0</v>
      </c>
    </row>
    <row r="190" spans="1:8" ht="13.5" hidden="1" thickTop="1" x14ac:dyDescent="0.2">
      <c r="A190" s="791"/>
      <c r="B190" s="119" t="s">
        <v>199</v>
      </c>
      <c r="C190" s="130">
        <f>'Non-personnel'!H79</f>
        <v>0</v>
      </c>
      <c r="D190" s="130">
        <f>'Non-personnel'!J79</f>
        <v>0</v>
      </c>
      <c r="E190" s="130">
        <f>'Non-personnel'!L79</f>
        <v>0</v>
      </c>
      <c r="F190" s="130">
        <f>'Non-personnel'!N79</f>
        <v>0</v>
      </c>
      <c r="G190" s="130">
        <f>'Non-personnel'!P79</f>
        <v>0</v>
      </c>
      <c r="H190" s="133">
        <f t="shared" si="12"/>
        <v>0</v>
      </c>
    </row>
    <row r="191" spans="1:8" ht="13.5" hidden="1" thickTop="1" x14ac:dyDescent="0.2">
      <c r="A191" s="790" t="str">
        <f>IF(ISBLANK('Non-personnel'!B80),"",'Non-personnel'!B80)</f>
        <v/>
      </c>
      <c r="B191" s="119" t="s">
        <v>40</v>
      </c>
      <c r="C191" s="130">
        <f>SUM('Non-personnel'!H80,'Non-personnel'!I80)</f>
        <v>0</v>
      </c>
      <c r="D191" s="130">
        <f>SUM('Non-personnel'!J80,'Non-personnel'!K80)</f>
        <v>0</v>
      </c>
      <c r="E191" s="130">
        <f>SUM('Non-personnel'!L80,'Non-personnel'!M80)</f>
        <v>0</v>
      </c>
      <c r="F191" s="130">
        <f>SUM('Non-personnel'!N80,'Non-personnel'!O80)</f>
        <v>0</v>
      </c>
      <c r="G191" s="130">
        <f>SUM('Non-personnel'!P80,'Non-personnel'!Q80)</f>
        <v>0</v>
      </c>
      <c r="H191" s="133">
        <f t="shared" si="12"/>
        <v>0</v>
      </c>
    </row>
    <row r="192" spans="1:8" ht="13.5" hidden="1" thickTop="1" x14ac:dyDescent="0.2">
      <c r="A192" s="791"/>
      <c r="B192" s="119" t="s">
        <v>199</v>
      </c>
      <c r="C192" s="130">
        <f>'Non-personnel'!H81</f>
        <v>0</v>
      </c>
      <c r="D192" s="130">
        <f>'Non-personnel'!J81</f>
        <v>0</v>
      </c>
      <c r="E192" s="130">
        <f>'Non-personnel'!L81</f>
        <v>0</v>
      </c>
      <c r="F192" s="130">
        <f>'Non-personnel'!N81</f>
        <v>0</v>
      </c>
      <c r="G192" s="130">
        <f>'Non-personnel'!P81</f>
        <v>0</v>
      </c>
      <c r="H192" s="133">
        <f t="shared" si="12"/>
        <v>0</v>
      </c>
    </row>
    <row r="193" spans="1:8" ht="13.5" hidden="1" thickTop="1" x14ac:dyDescent="0.2">
      <c r="A193" s="790" t="str">
        <f>IF(ISBLANK('Non-personnel'!B82),"",'Non-personnel'!B82)</f>
        <v/>
      </c>
      <c r="B193" s="119" t="s">
        <v>40</v>
      </c>
      <c r="C193" s="130">
        <f>SUM('Non-personnel'!H82,'Non-personnel'!I82)</f>
        <v>0</v>
      </c>
      <c r="D193" s="130">
        <f>SUM('Non-personnel'!J82,'Non-personnel'!K82)</f>
        <v>0</v>
      </c>
      <c r="E193" s="130">
        <f>SUM('Non-personnel'!L82,'Non-personnel'!M82)</f>
        <v>0</v>
      </c>
      <c r="F193" s="130">
        <f>SUM('Non-personnel'!N82,'Non-personnel'!O82)</f>
        <v>0</v>
      </c>
      <c r="G193" s="130">
        <f>SUM('Non-personnel'!P82,'Non-personnel'!Q82)</f>
        <v>0</v>
      </c>
      <c r="H193" s="133">
        <f t="shared" si="12"/>
        <v>0</v>
      </c>
    </row>
    <row r="194" spans="1:8" ht="13.5" hidden="1" thickTop="1" x14ac:dyDescent="0.2">
      <c r="A194" s="791"/>
      <c r="B194" s="119" t="s">
        <v>199</v>
      </c>
      <c r="C194" s="130">
        <f>'Non-personnel'!H83</f>
        <v>0</v>
      </c>
      <c r="D194" s="130">
        <f>'Non-personnel'!J83</f>
        <v>0</v>
      </c>
      <c r="E194" s="130">
        <f>'Non-personnel'!L83</f>
        <v>0</v>
      </c>
      <c r="F194" s="130">
        <f>'Non-personnel'!N83</f>
        <v>0</v>
      </c>
      <c r="G194" s="130">
        <f>'Non-personnel'!P83</f>
        <v>0</v>
      </c>
      <c r="H194" s="133">
        <f t="shared" si="12"/>
        <v>0</v>
      </c>
    </row>
    <row r="195" spans="1:8" ht="13.5" hidden="1" thickTop="1" x14ac:dyDescent="0.2">
      <c r="A195" s="790" t="str">
        <f>IF(ISBLANK('Non-personnel'!B84),"",'Non-personnel'!B84)</f>
        <v/>
      </c>
      <c r="B195" s="119" t="s">
        <v>40</v>
      </c>
      <c r="C195" s="130">
        <f>SUM('Non-personnel'!H84,'Non-personnel'!I84)</f>
        <v>0</v>
      </c>
      <c r="D195" s="130">
        <f>SUM('Non-personnel'!J84,'Non-personnel'!K84)</f>
        <v>0</v>
      </c>
      <c r="E195" s="130">
        <f>SUM('Non-personnel'!L84,'Non-personnel'!M84)</f>
        <v>0</v>
      </c>
      <c r="F195" s="130">
        <f>SUM('Non-personnel'!N84,'Non-personnel'!O84)</f>
        <v>0</v>
      </c>
      <c r="G195" s="130">
        <f>SUM('Non-personnel'!P84,'Non-personnel'!Q84)</f>
        <v>0</v>
      </c>
      <c r="H195" s="133">
        <f t="shared" si="12"/>
        <v>0</v>
      </c>
    </row>
    <row r="196" spans="1:8" ht="13.5" hidden="1" thickTop="1" x14ac:dyDescent="0.2">
      <c r="A196" s="791"/>
      <c r="B196" s="119" t="s">
        <v>199</v>
      </c>
      <c r="C196" s="130">
        <f>'Non-personnel'!H85</f>
        <v>0</v>
      </c>
      <c r="D196" s="130">
        <f>'Non-personnel'!J85</f>
        <v>0</v>
      </c>
      <c r="E196" s="130">
        <f>'Non-personnel'!L85</f>
        <v>0</v>
      </c>
      <c r="F196" s="130">
        <f>'Non-personnel'!N85</f>
        <v>0</v>
      </c>
      <c r="G196" s="130">
        <f>'Non-personnel'!P85</f>
        <v>0</v>
      </c>
      <c r="H196" s="133">
        <f t="shared" si="12"/>
        <v>0</v>
      </c>
    </row>
    <row r="197" spans="1:8" ht="13.5" hidden="1" thickTop="1" x14ac:dyDescent="0.2">
      <c r="A197" s="790" t="str">
        <f>IF(ISBLANK('Non-personnel'!B86),"",'Non-personnel'!B86)</f>
        <v/>
      </c>
      <c r="B197" s="119" t="s">
        <v>40</v>
      </c>
      <c r="C197" s="130">
        <f>SUM('Non-personnel'!H86,'Non-personnel'!I86)</f>
        <v>0</v>
      </c>
      <c r="D197" s="130">
        <f>SUM('Non-personnel'!J86,'Non-personnel'!K86)</f>
        <v>0</v>
      </c>
      <c r="E197" s="130">
        <f>SUM('Non-personnel'!L86,'Non-personnel'!M86)</f>
        <v>0</v>
      </c>
      <c r="F197" s="130">
        <f>SUM('Non-personnel'!N86,'Non-personnel'!O86)</f>
        <v>0</v>
      </c>
      <c r="G197" s="130">
        <f>SUM('Non-personnel'!P86,'Non-personnel'!Q86)</f>
        <v>0</v>
      </c>
      <c r="H197" s="133">
        <f t="shared" si="12"/>
        <v>0</v>
      </c>
    </row>
    <row r="198" spans="1:8" ht="13.5" hidden="1" thickTop="1" x14ac:dyDescent="0.2">
      <c r="A198" s="791"/>
      <c r="B198" s="119" t="s">
        <v>199</v>
      </c>
      <c r="C198" s="130">
        <f>'Non-personnel'!H87</f>
        <v>0</v>
      </c>
      <c r="D198" s="130">
        <f>'Non-personnel'!J87</f>
        <v>0</v>
      </c>
      <c r="E198" s="130">
        <f>'Non-personnel'!L87</f>
        <v>0</v>
      </c>
      <c r="F198" s="130">
        <f>'Non-personnel'!N87</f>
        <v>0</v>
      </c>
      <c r="G198" s="130">
        <f>'Non-personnel'!P87</f>
        <v>0</v>
      </c>
      <c r="H198" s="133">
        <f t="shared" si="12"/>
        <v>0</v>
      </c>
    </row>
    <row r="199" spans="1:8" ht="13.5" hidden="1" thickTop="1" x14ac:dyDescent="0.2">
      <c r="A199" s="790" t="str">
        <f>IF(ISBLANK('Non-personnel'!B88),"",'Non-personnel'!B88)</f>
        <v/>
      </c>
      <c r="B199" s="119" t="s">
        <v>40</v>
      </c>
      <c r="C199" s="130">
        <f>SUM('Non-personnel'!H88,'Non-personnel'!I88)</f>
        <v>0</v>
      </c>
      <c r="D199" s="130">
        <f>SUM('Non-personnel'!J88,'Non-personnel'!K88)</f>
        <v>0</v>
      </c>
      <c r="E199" s="130">
        <f>SUM('Non-personnel'!L88,'Non-personnel'!M88)</f>
        <v>0</v>
      </c>
      <c r="F199" s="130">
        <f>SUM('Non-personnel'!N88,'Non-personnel'!O88)</f>
        <v>0</v>
      </c>
      <c r="G199" s="130">
        <f>SUM('Non-personnel'!P88,'Non-personnel'!Q88)</f>
        <v>0</v>
      </c>
      <c r="H199" s="133">
        <f t="shared" si="12"/>
        <v>0</v>
      </c>
    </row>
    <row r="200" spans="1:8" ht="13.5" hidden="1" thickTop="1" x14ac:dyDescent="0.2">
      <c r="A200" s="791"/>
      <c r="B200" s="119" t="s">
        <v>199</v>
      </c>
      <c r="C200" s="130">
        <f>'Non-personnel'!H89</f>
        <v>0</v>
      </c>
      <c r="D200" s="130">
        <f>'Non-personnel'!J89</f>
        <v>0</v>
      </c>
      <c r="E200" s="130">
        <f>'Non-personnel'!L89</f>
        <v>0</v>
      </c>
      <c r="F200" s="130">
        <f>'Non-personnel'!N89</f>
        <v>0</v>
      </c>
      <c r="G200" s="130">
        <f>'Non-personnel'!P89</f>
        <v>0</v>
      </c>
      <c r="H200" s="131">
        <f t="shared" si="12"/>
        <v>0</v>
      </c>
    </row>
    <row r="201" spans="1:8" ht="14.25" hidden="1" thickTop="1" thickBot="1" x14ac:dyDescent="0.25">
      <c r="A201" s="794" t="s">
        <v>40</v>
      </c>
      <c r="B201" s="795"/>
      <c r="C201" s="134">
        <f t="shared" ref="C201:G202" si="13">SUM(C181,C183,C185,C187,C189,C191,C193,C195,C197,C199)</f>
        <v>0</v>
      </c>
      <c r="D201" s="134">
        <f t="shared" si="13"/>
        <v>0</v>
      </c>
      <c r="E201" s="134">
        <f t="shared" si="13"/>
        <v>0</v>
      </c>
      <c r="F201" s="134">
        <f t="shared" si="13"/>
        <v>0</v>
      </c>
      <c r="G201" s="134">
        <f t="shared" si="13"/>
        <v>0</v>
      </c>
      <c r="H201" s="135">
        <f t="shared" si="12"/>
        <v>0</v>
      </c>
    </row>
    <row r="202" spans="1:8" ht="14.25" hidden="1" thickTop="1" thickBot="1" x14ac:dyDescent="0.25">
      <c r="A202" s="786" t="s">
        <v>200</v>
      </c>
      <c r="B202" s="787"/>
      <c r="C202" s="466">
        <f t="shared" si="13"/>
        <v>0</v>
      </c>
      <c r="D202" s="466">
        <f t="shared" si="13"/>
        <v>0</v>
      </c>
      <c r="E202" s="466">
        <f t="shared" si="13"/>
        <v>0</v>
      </c>
      <c r="F202" s="466">
        <f t="shared" si="13"/>
        <v>0</v>
      </c>
      <c r="G202" s="466">
        <f t="shared" si="13"/>
        <v>0</v>
      </c>
      <c r="H202" s="467">
        <f t="shared" si="12"/>
        <v>0</v>
      </c>
    </row>
    <row r="203" spans="1:8" ht="13.5" thickTop="1" x14ac:dyDescent="0.2"/>
    <row r="204" spans="1:8" hidden="1" x14ac:dyDescent="0.2">
      <c r="A204" s="796" t="s">
        <v>245</v>
      </c>
      <c r="B204" s="796"/>
      <c r="C204" s="81"/>
      <c r="D204" s="81"/>
      <c r="E204" s="81"/>
      <c r="F204" s="81"/>
      <c r="G204" s="81"/>
      <c r="H204" s="81"/>
    </row>
    <row r="205" spans="1:8" hidden="1" x14ac:dyDescent="0.2">
      <c r="A205" s="224" t="str">
        <f>CONCATENATE('Personnel Yr 1'!B44, IF(OR(ISBLANK('Personnel Yr 1'!B44),'Personnel Yr 1'!B44=""),""," "),'Personnel Yr 1'!C44, " ",'Personnel Yr 1'!D44,IF(OR(ISBLANK('Personnel Yr 1'!D44),'Personnel Yr 1'!D44=""),""," "),'Personnel Yr 1'!E44," ",'Personnel Yr 1'!F44)</f>
        <v xml:space="preserve">  </v>
      </c>
      <c r="B205" s="242" t="s">
        <v>399</v>
      </c>
      <c r="C205" s="83" t="s">
        <v>35</v>
      </c>
      <c r="D205" s="83" t="s">
        <v>36</v>
      </c>
      <c r="E205" s="83" t="s">
        <v>37</v>
      </c>
      <c r="F205" s="83" t="s">
        <v>38</v>
      </c>
      <c r="G205" s="83" t="s">
        <v>39</v>
      </c>
      <c r="H205" s="83" t="s">
        <v>40</v>
      </c>
    </row>
    <row r="206" spans="1:8" hidden="1" x14ac:dyDescent="0.2">
      <c r="A206" s="222" t="s">
        <v>69</v>
      </c>
      <c r="B206" s="243">
        <f>(C206/17)*C272</f>
        <v>0</v>
      </c>
      <c r="C206" s="84">
        <f>ROUND(('Personnel Yr 1'!S44),0)</f>
        <v>0</v>
      </c>
      <c r="D206" s="84">
        <f>IF(OR(ISBLANK('Personnel Yr 2'!R44),'Personnel Yr 2'!R44=""),0,ROUND(('Personnel Yr 2'!R44),0))</f>
        <v>0</v>
      </c>
      <c r="E206" s="84">
        <f>IF(OR(ISBLANK('Personnel Yr 3'!R44),'Personnel Yr 3'!R44=""),0,ROUND(('Personnel Yr 3'!R44),0))</f>
        <v>0</v>
      </c>
      <c r="F206" s="84">
        <f>IF(OR(ISBLANK('Personnel Yr 4'!R44),'Personnel Yr 4'!R44=""),0,ROUND(('Personnel Yr 4'!R44),0))</f>
        <v>0</v>
      </c>
      <c r="G206" s="84">
        <f>IF(OR(ISBLANK('Personnel Yr 5'!R44),'Personnel Yr 5'!R44=""),0,ROUND(('Personnel Yr 5'!R44),0))</f>
        <v>0</v>
      </c>
      <c r="H206" s="84">
        <f>SUM(C206:G206)</f>
        <v>0</v>
      </c>
    </row>
    <row r="207" spans="1:8" hidden="1" x14ac:dyDescent="0.2">
      <c r="A207" s="222" t="s">
        <v>130</v>
      </c>
      <c r="B207" s="243">
        <f>(C207/17)*C275</f>
        <v>0</v>
      </c>
      <c r="C207" s="84">
        <f>ROUND(('Personnel Yr 1'!R44),0)</f>
        <v>0</v>
      </c>
      <c r="D207" s="84">
        <f>IF(OR(ISBLANK('Personnel Yr 2'!Q44),'Personnel Yr 2'!Q44=""),0,ROUND(('Personnel Yr 2'!Q44),0))</f>
        <v>0</v>
      </c>
      <c r="E207" s="84">
        <f>IF(OR(ISBLANK('Personnel Yr 3'!Q44),'Personnel Yr 3'!Q44=""),0,ROUND(('Personnel Yr 3'!Q44),0))</f>
        <v>0</v>
      </c>
      <c r="F207" s="84">
        <f>IF(OR(ISBLANK('Personnel Yr 4'!Q44),'Personnel Yr 4'!Q44=""),0,ROUND(('Personnel Yr 4'!Q44),0))</f>
        <v>0</v>
      </c>
      <c r="G207" s="84">
        <f>IF(OR(ISBLANK('Personnel Yr 5'!Q44),'Personnel Yr 5'!Q44=""),0,ROUND(('Personnel Yr 5'!Q44),0))</f>
        <v>0</v>
      </c>
      <c r="H207" s="84">
        <f>SUM(C207:G207)</f>
        <v>0</v>
      </c>
    </row>
    <row r="208" spans="1:8" hidden="1" x14ac:dyDescent="0.2">
      <c r="A208" s="222" t="s">
        <v>131</v>
      </c>
      <c r="B208" s="241"/>
      <c r="C208" s="84">
        <f>ROUND(('Personnel Yr 1'!Q44),0)</f>
        <v>0</v>
      </c>
      <c r="D208" s="84">
        <f>IF(OR(ISBLANK('Personnel Yr 2'!P44),'Personnel Yr 2'!P44=""),0,ROUND(('Personnel Yr 2'!P44),0))</f>
        <v>0</v>
      </c>
      <c r="E208" s="84">
        <f>IF(OR(ISBLANK('Personnel Yr 3'!P44),'Personnel Yr 3'!P44=""),0,ROUND(('Personnel Yr 3'!P44),0))</f>
        <v>0</v>
      </c>
      <c r="F208" s="84">
        <f>IF(OR(ISBLANK('Personnel Yr 4'!P44),'Personnel Yr 4'!P44=""),0,ROUND(('Personnel Yr 4'!P44),0))</f>
        <v>0</v>
      </c>
      <c r="G208" s="84">
        <f>IF(OR(ISBLANK('Personnel Yr 5'!P44),'Personnel Yr 5'!P44=""),0,ROUND(('Personnel Yr 5'!P44),0))</f>
        <v>0</v>
      </c>
      <c r="H208" s="84">
        <f>SUM(C208:G208)</f>
        <v>0</v>
      </c>
    </row>
    <row r="209" spans="1:8" hidden="1" x14ac:dyDescent="0.2">
      <c r="A209" s="775" t="str">
        <f>CONCATENATE('Personnel Yr 1'!B45, IF(OR(ISBLANK('Personnel Yr 1'!B45),'Personnel Yr 1'!B45=""),""," "),'Personnel Yr 1'!C45, " ",'Personnel Yr 1'!D45,IF(OR(ISBLANK('Personnel Yr 1'!D45),'Personnel Yr 1'!D45=""),""," "),'Personnel Yr 1'!E45," ",'Personnel Yr 1'!F45)</f>
        <v xml:space="preserve">  </v>
      </c>
      <c r="B209" s="776"/>
      <c r="C209" s="85"/>
      <c r="D209" s="86"/>
      <c r="E209" s="86"/>
      <c r="F209" s="86"/>
      <c r="G209" s="86"/>
      <c r="H209" s="87"/>
    </row>
    <row r="210" spans="1:8" hidden="1" x14ac:dyDescent="0.2">
      <c r="A210" s="222" t="s">
        <v>69</v>
      </c>
      <c r="B210" s="243">
        <f>(C210/17)*C279</f>
        <v>0</v>
      </c>
      <c r="C210" s="84">
        <f>ROUND(('Personnel Yr 1'!S45),0)</f>
        <v>0</v>
      </c>
      <c r="D210" s="84">
        <f>IF(OR(ISBLANK('Personnel Yr 2'!R45),'Personnel Yr 2'!R45=""),0,ROUND(('Personnel Yr 2'!R45),0))</f>
        <v>0</v>
      </c>
      <c r="E210" s="84">
        <f>IF(OR(ISBLANK('Personnel Yr 3'!R45),'Personnel Yr 3'!R45=""),0,ROUND(('Personnel Yr 3'!R45),0))</f>
        <v>0</v>
      </c>
      <c r="F210" s="84">
        <f>IF(OR(ISBLANK('Personnel Yr 4'!R45),'Personnel Yr 4'!R45=""),0,ROUND(('Personnel Yr 4'!R45),0))</f>
        <v>0</v>
      </c>
      <c r="G210" s="84">
        <f>IF(OR(ISBLANK('Personnel Yr 5'!R45),'Personnel Yr 5'!R45=""),0,ROUND(('Personnel Yr 5'!R45),0))</f>
        <v>0</v>
      </c>
      <c r="H210" s="84">
        <f>SUM(C210:G210)</f>
        <v>0</v>
      </c>
    </row>
    <row r="211" spans="1:8" hidden="1" x14ac:dyDescent="0.2">
      <c r="A211" s="222" t="s">
        <v>130</v>
      </c>
      <c r="B211" s="243">
        <f>(C211/17)*C282</f>
        <v>0</v>
      </c>
      <c r="C211" s="84">
        <f>ROUND(('Personnel Yr 1'!R45),0)</f>
        <v>0</v>
      </c>
      <c r="D211" s="84">
        <f>IF(OR(ISBLANK('Personnel Yr 2'!Q45),'Personnel Yr 2'!Q45=""),0,ROUND(('Personnel Yr 2'!Q45),0))</f>
        <v>0</v>
      </c>
      <c r="E211" s="84">
        <f>IF(OR(ISBLANK('Personnel Yr 3'!Q45),'Personnel Yr 3'!Q45=""),0,ROUND(('Personnel Yr 3'!Q45),0))</f>
        <v>0</v>
      </c>
      <c r="F211" s="84">
        <f>IF(OR(ISBLANK('Personnel Yr 4'!Q45),'Personnel Yr 4'!Q45=""),0,ROUND(('Personnel Yr 4'!Q45),0))</f>
        <v>0</v>
      </c>
      <c r="G211" s="84">
        <f>IF(OR(ISBLANK('Personnel Yr 5'!Q45),'Personnel Yr 5'!Q45=""),0,ROUND(('Personnel Yr 5'!Q45),0))</f>
        <v>0</v>
      </c>
      <c r="H211" s="84">
        <f>SUM(C211:G211)</f>
        <v>0</v>
      </c>
    </row>
    <row r="212" spans="1:8" hidden="1" x14ac:dyDescent="0.2">
      <c r="A212" s="222" t="s">
        <v>131</v>
      </c>
      <c r="B212" s="241"/>
      <c r="C212" s="84">
        <f>ROUND(('Personnel Yr 1'!Q45),0)</f>
        <v>0</v>
      </c>
      <c r="D212" s="84">
        <f>IF(OR(ISBLANK('Personnel Yr 2'!P45),'Personnel Yr 2'!P45=""),0,ROUND(('Personnel Yr 2'!P45),0))</f>
        <v>0</v>
      </c>
      <c r="E212" s="84">
        <f>IF(OR(ISBLANK('Personnel Yr 3'!P45),'Personnel Yr 3'!P45=""),0,ROUND(('Personnel Yr 3'!P45),0))</f>
        <v>0</v>
      </c>
      <c r="F212" s="84">
        <f>IF(OR(ISBLANK('Personnel Yr 4'!P45),'Personnel Yr 4'!P45=""),0,ROUND(('Personnel Yr 4'!P45),0))</f>
        <v>0</v>
      </c>
      <c r="G212" s="84">
        <f>IF(OR(ISBLANK('Personnel Yr 5'!P45),'Personnel Yr 5'!P45=""),0,ROUND(('Personnel Yr 5'!P45),0))</f>
        <v>0</v>
      </c>
      <c r="H212" s="84">
        <f>SUM(C212:G212)</f>
        <v>0</v>
      </c>
    </row>
    <row r="213" spans="1:8" hidden="1" x14ac:dyDescent="0.2">
      <c r="A213" s="775" t="str">
        <f>CONCATENATE('Personnel Yr 1'!B46, IF(OR(ISBLANK('Personnel Yr 1'!B46),'Personnel Yr 1'!B46=""),""," "),'Personnel Yr 1'!C46, " ",'Personnel Yr 1'!D46,IF(OR(ISBLANK('Personnel Yr 1'!D46),'Personnel Yr 1'!D46=""),""," "),'Personnel Yr 1'!E46," ",'Personnel Yr 1'!F46)</f>
        <v xml:space="preserve">  </v>
      </c>
      <c r="B213" s="776"/>
      <c r="C213" s="85"/>
      <c r="D213" s="86"/>
      <c r="E213" s="86"/>
      <c r="F213" s="86"/>
      <c r="G213" s="86"/>
      <c r="H213" s="87"/>
    </row>
    <row r="214" spans="1:8" hidden="1" x14ac:dyDescent="0.2">
      <c r="A214" s="222" t="s">
        <v>69</v>
      </c>
      <c r="B214" s="243">
        <f>(C214/17)*C286</f>
        <v>0</v>
      </c>
      <c r="C214" s="84">
        <f>ROUND(('Personnel Yr 1'!S46),0)</f>
        <v>0</v>
      </c>
      <c r="D214" s="84">
        <f>IF(OR(ISBLANK('Personnel Yr 2'!R46),'Personnel Yr 2'!R46=""),0,ROUND(('Personnel Yr 2'!R46),0))</f>
        <v>0</v>
      </c>
      <c r="E214" s="84">
        <f>IF(OR(ISBLANK('Personnel Yr 3'!R46),'Personnel Yr 3'!R46=""),0,ROUND(('Personnel Yr 3'!R46),0))</f>
        <v>0</v>
      </c>
      <c r="F214" s="84">
        <f>IF(OR(ISBLANK('Personnel Yr 4'!R46),'Personnel Yr 4'!R46=""),0,ROUND(('Personnel Yr 4'!R46),0))</f>
        <v>0</v>
      </c>
      <c r="G214" s="84">
        <f>IF(OR(ISBLANK('Personnel Yr 5'!R46),'Personnel Yr 5'!R46=""),0,ROUND(('Personnel Yr 5'!R46),0))</f>
        <v>0</v>
      </c>
      <c r="H214" s="84">
        <f>SUM(C214:G214)</f>
        <v>0</v>
      </c>
    </row>
    <row r="215" spans="1:8" hidden="1" x14ac:dyDescent="0.2">
      <c r="A215" s="222" t="s">
        <v>130</v>
      </c>
      <c r="B215" s="243">
        <f>(C215/17)*C289</f>
        <v>0</v>
      </c>
      <c r="C215" s="84">
        <f>ROUND(('Personnel Yr 1'!R46),0)</f>
        <v>0</v>
      </c>
      <c r="D215" s="84">
        <f>IF(OR(ISBLANK('Personnel Yr 2'!Q46),'Personnel Yr 2'!Q46=""),0,ROUND(('Personnel Yr 2'!Q46),0))</f>
        <v>0</v>
      </c>
      <c r="E215" s="84">
        <f>IF(OR(ISBLANK('Personnel Yr 3'!Q46),'Personnel Yr 3'!Q46=""),0,ROUND(('Personnel Yr 3'!Q46),0))</f>
        <v>0</v>
      </c>
      <c r="F215" s="84">
        <f>IF(OR(ISBLANK('Personnel Yr 4'!Q46),'Personnel Yr 4'!Q46=""),0,ROUND(('Personnel Yr 4'!Q46),0))</f>
        <v>0</v>
      </c>
      <c r="G215" s="84">
        <f>IF(OR(ISBLANK('Personnel Yr 5'!Q46),'Personnel Yr 5'!Q46=""),0,ROUND(('Personnel Yr 5'!Q46),0))</f>
        <v>0</v>
      </c>
      <c r="H215" s="84">
        <f>SUM(C215:G215)</f>
        <v>0</v>
      </c>
    </row>
    <row r="216" spans="1:8" hidden="1" x14ac:dyDescent="0.2">
      <c r="A216" s="222" t="s">
        <v>131</v>
      </c>
      <c r="B216" s="241"/>
      <c r="C216" s="84">
        <f>ROUND(('Personnel Yr 1'!Q46),0)</f>
        <v>0</v>
      </c>
      <c r="D216" s="84">
        <f>IF(OR(ISBLANK('Personnel Yr 2'!P46),'Personnel Yr 2'!P46=""),0,ROUND(('Personnel Yr 2'!P46),0))</f>
        <v>0</v>
      </c>
      <c r="E216" s="84">
        <f>IF(OR(ISBLANK('Personnel Yr 3'!P46),'Personnel Yr 3'!P46=""),0,ROUND(('Personnel Yr 3'!P46),0))</f>
        <v>0</v>
      </c>
      <c r="F216" s="84">
        <f>IF(OR(ISBLANK('Personnel Yr 4'!P46),'Personnel Yr 4'!P46=""),0,ROUND(('Personnel Yr 4'!P46),0))</f>
        <v>0</v>
      </c>
      <c r="G216" s="84">
        <f>IF(OR(ISBLANK('Personnel Yr 5'!P46),'Personnel Yr 5'!P46=""),0,ROUND(('Personnel Yr 5'!P46),0))</f>
        <v>0</v>
      </c>
      <c r="H216" s="84">
        <f>SUM(C216:G216)</f>
        <v>0</v>
      </c>
    </row>
    <row r="217" spans="1:8" hidden="1" x14ac:dyDescent="0.2">
      <c r="A217" s="775" t="str">
        <f>CONCATENATE('Personnel Yr 1'!B47, IF(OR(ISBLANK('Personnel Yr 1'!B47),'Personnel Yr 1'!B47=""),""," "),'Personnel Yr 1'!C47, " ",'Personnel Yr 1'!D47,IF(OR(ISBLANK('Personnel Yr 1'!D47),'Personnel Yr 1'!D47=""),""," "),'Personnel Yr 1'!E47," ",'Personnel Yr 1'!F47)</f>
        <v xml:space="preserve">  </v>
      </c>
      <c r="B217" s="776"/>
      <c r="C217" s="85"/>
      <c r="D217" s="86"/>
      <c r="E217" s="86"/>
      <c r="F217" s="86"/>
      <c r="G217" s="86"/>
      <c r="H217" s="87"/>
    </row>
    <row r="218" spans="1:8" hidden="1" x14ac:dyDescent="0.2">
      <c r="A218" s="222" t="s">
        <v>69</v>
      </c>
      <c r="B218" s="243">
        <f>(C218/17)*C293</f>
        <v>0</v>
      </c>
      <c r="C218" s="84">
        <f>ROUND(('Personnel Yr 1'!S47),0)</f>
        <v>0</v>
      </c>
      <c r="D218" s="84">
        <f>IF(OR(ISBLANK('Personnel Yr 2'!R47),'Personnel Yr 2'!R47=""),0,ROUND(('Personnel Yr 2'!R47),0))</f>
        <v>0</v>
      </c>
      <c r="E218" s="84">
        <f>IF(OR(ISBLANK('Personnel Yr 3'!R47),'Personnel Yr 3'!R47=""),0,ROUND(('Personnel Yr 3'!R47),0))</f>
        <v>0</v>
      </c>
      <c r="F218" s="84">
        <f>IF(OR(ISBLANK('Personnel Yr 4'!R47),'Personnel Yr 4'!R47=""),0,ROUND(('Personnel Yr 4'!R47),0))</f>
        <v>0</v>
      </c>
      <c r="G218" s="84">
        <f>IF(OR(ISBLANK('Personnel Yr 5'!R47),'Personnel Yr 5'!R47=""),0,ROUND(('Personnel Yr 5'!R47),0))</f>
        <v>0</v>
      </c>
      <c r="H218" s="84">
        <f>SUM(C218:G218)</f>
        <v>0</v>
      </c>
    </row>
    <row r="219" spans="1:8" hidden="1" x14ac:dyDescent="0.2">
      <c r="A219" s="222" t="s">
        <v>130</v>
      </c>
      <c r="B219" s="243">
        <f>(C219/17)*C296</f>
        <v>0</v>
      </c>
      <c r="C219" s="84">
        <f>ROUND(('Personnel Yr 1'!R47),0)</f>
        <v>0</v>
      </c>
      <c r="D219" s="84">
        <f>IF(OR(ISBLANK('Personnel Yr 2'!Q47),'Personnel Yr 2'!Q47=""),0,ROUND(('Personnel Yr 2'!Q47),0))</f>
        <v>0</v>
      </c>
      <c r="E219" s="84">
        <f>IF(OR(ISBLANK('Personnel Yr 3'!Q47),'Personnel Yr 3'!Q47=""),0,ROUND(('Personnel Yr 3'!Q47),0))</f>
        <v>0</v>
      </c>
      <c r="F219" s="84">
        <f>IF(OR(ISBLANK('Personnel Yr 4'!Q47),'Personnel Yr 4'!Q47=""),0,ROUND(('Personnel Yr 4'!Q47),0))</f>
        <v>0</v>
      </c>
      <c r="G219" s="84">
        <f>IF(OR(ISBLANK('Personnel Yr 5'!Q47),'Personnel Yr 5'!Q47=""),0,ROUND(('Personnel Yr 5'!Q47),0))</f>
        <v>0</v>
      </c>
      <c r="H219" s="84">
        <f>SUM(C219:G219)</f>
        <v>0</v>
      </c>
    </row>
    <row r="220" spans="1:8" hidden="1" x14ac:dyDescent="0.2">
      <c r="A220" s="222" t="s">
        <v>131</v>
      </c>
      <c r="B220" s="241"/>
      <c r="C220" s="84">
        <f>ROUND(('Personnel Yr 1'!Q47),0)</f>
        <v>0</v>
      </c>
      <c r="D220" s="84">
        <f>IF(OR(ISBLANK('Personnel Yr 2'!P47),'Personnel Yr 2'!P47=""),0,ROUND(('Personnel Yr 2'!P47),0))</f>
        <v>0</v>
      </c>
      <c r="E220" s="84">
        <f>IF(OR(ISBLANK('Personnel Yr 3'!P47),'Personnel Yr 3'!P47=""),0,ROUND(('Personnel Yr 3'!P47),0))</f>
        <v>0</v>
      </c>
      <c r="F220" s="84">
        <f>IF(OR(ISBLANK('Personnel Yr 4'!P47),'Personnel Yr 4'!P47=""),0,ROUND(('Personnel Yr 4'!P47),0))</f>
        <v>0</v>
      </c>
      <c r="G220" s="84">
        <f>IF(OR(ISBLANK('Personnel Yr 5'!P47),'Personnel Yr 5'!P47=""),0,ROUND(('Personnel Yr 5'!P47),0))</f>
        <v>0</v>
      </c>
      <c r="H220" s="84">
        <f>SUM(C220:G220)</f>
        <v>0</v>
      </c>
    </row>
    <row r="221" spans="1:8" hidden="1" x14ac:dyDescent="0.2">
      <c r="A221" s="775" t="str">
        <f>CONCATENATE('Personnel Yr 1'!B48, IF(OR(ISBLANK('Personnel Yr 1'!B48),'Personnel Yr 1'!B48=""),""," "),'Personnel Yr 1'!C48, " ",'Personnel Yr 1'!D48,IF(OR(ISBLANK('Personnel Yr 1'!D48),'Personnel Yr 1'!D48=""),""," "),'Personnel Yr 1'!E48," ",'Personnel Yr 1'!F48)</f>
        <v xml:space="preserve">  </v>
      </c>
      <c r="B221" s="776"/>
      <c r="C221" s="85"/>
      <c r="D221" s="86"/>
      <c r="E221" s="86"/>
      <c r="F221" s="86"/>
      <c r="G221" s="86"/>
      <c r="H221" s="87"/>
    </row>
    <row r="222" spans="1:8" hidden="1" x14ac:dyDescent="0.2">
      <c r="A222" s="222" t="s">
        <v>69</v>
      </c>
      <c r="B222" s="243">
        <f>(C222/17)*C300</f>
        <v>0</v>
      </c>
      <c r="C222" s="84">
        <f>ROUND(('Personnel Yr 1'!S48),0)</f>
        <v>0</v>
      </c>
      <c r="D222" s="84">
        <f>IF(OR(ISBLANK('Personnel Yr 2'!R48),'Personnel Yr 2'!R48=""),0,ROUND(('Personnel Yr 2'!R48),0))</f>
        <v>0</v>
      </c>
      <c r="E222" s="84">
        <f>IF(OR(ISBLANK('Personnel Yr 3'!R48),'Personnel Yr 3'!R48=""),0,ROUND(('Personnel Yr 3'!R48),0))</f>
        <v>0</v>
      </c>
      <c r="F222" s="84">
        <f>IF(OR(ISBLANK('Personnel Yr 4'!R48),'Personnel Yr 4'!R48=""),0,ROUND(('Personnel Yr 4'!R48),0))</f>
        <v>0</v>
      </c>
      <c r="G222" s="84">
        <f>IF(OR(ISBLANK('Personnel Yr 5'!R48),'Personnel Yr 5'!R48=""),0,ROUND(('Personnel Yr 5'!R48),0))</f>
        <v>0</v>
      </c>
      <c r="H222" s="84">
        <f>SUM(C222:G222)</f>
        <v>0</v>
      </c>
    </row>
    <row r="223" spans="1:8" hidden="1" x14ac:dyDescent="0.2">
      <c r="A223" s="222" t="s">
        <v>130</v>
      </c>
      <c r="B223" s="243">
        <f>(C223/17)*C303</f>
        <v>0</v>
      </c>
      <c r="C223" s="84">
        <f>ROUND(('Personnel Yr 1'!R48),0)</f>
        <v>0</v>
      </c>
      <c r="D223" s="84">
        <f>IF(OR(ISBLANK('Personnel Yr 2'!Q48),'Personnel Yr 2'!Q48=""),0,ROUND(('Personnel Yr 2'!Q48),0))</f>
        <v>0</v>
      </c>
      <c r="E223" s="84">
        <f>IF(OR(ISBLANK('Personnel Yr 3'!Q48),'Personnel Yr 3'!Q48=""),0,ROUND(('Personnel Yr 3'!Q48),0))</f>
        <v>0</v>
      </c>
      <c r="F223" s="84">
        <f>IF(OR(ISBLANK('Personnel Yr 4'!Q48),'Personnel Yr 4'!Q48=""),0,ROUND(('Personnel Yr 4'!Q48),0))</f>
        <v>0</v>
      </c>
      <c r="G223" s="84">
        <f>IF(OR(ISBLANK('Personnel Yr 5'!Q48),'Personnel Yr 5'!Q48=""),0,ROUND(('Personnel Yr 5'!Q48),0))</f>
        <v>0</v>
      </c>
      <c r="H223" s="84">
        <f>SUM(C223:G223)</f>
        <v>0</v>
      </c>
    </row>
    <row r="224" spans="1:8" hidden="1" x14ac:dyDescent="0.2">
      <c r="A224" s="222" t="s">
        <v>131</v>
      </c>
      <c r="B224" s="241"/>
      <c r="C224" s="84">
        <f>ROUND(('Personnel Yr 1'!Q48),0)</f>
        <v>0</v>
      </c>
      <c r="D224" s="84">
        <f>IF(OR(ISBLANK('Personnel Yr 2'!P48),'Personnel Yr 2'!P48=""),0,ROUND(('Personnel Yr 2'!P48),0))</f>
        <v>0</v>
      </c>
      <c r="E224" s="84">
        <f>IF(OR(ISBLANK('Personnel Yr 3'!P48),'Personnel Yr 3'!P48=""),0,ROUND(('Personnel Yr 3'!P48),0))</f>
        <v>0</v>
      </c>
      <c r="F224" s="84">
        <f>IF(OR(ISBLANK('Personnel Yr 4'!P48),'Personnel Yr 4'!P48=""),0,ROUND(('Personnel Yr 4'!P48),0))</f>
        <v>0</v>
      </c>
      <c r="G224" s="84">
        <f>IF(OR(ISBLANK('Personnel Yr 5'!P48),'Personnel Yr 5'!P48=""),0,ROUND(('Personnel Yr 5'!P48),0))</f>
        <v>0</v>
      </c>
      <c r="H224" s="84">
        <f>SUM(C224:G224)</f>
        <v>0</v>
      </c>
    </row>
    <row r="225" spans="1:8" hidden="1" x14ac:dyDescent="0.2">
      <c r="A225" s="775" t="str">
        <f>CONCATENATE('Personnel Yr 1'!B49, IF(OR(ISBLANK('Personnel Yr 1'!B49),'Personnel Yr 1'!B49=""),""," "),'Personnel Yr 1'!C49, " ",'Personnel Yr 1'!D49,IF(OR(ISBLANK('Personnel Yr 1'!D49),'Personnel Yr 1'!D49=""),""," "),'Personnel Yr 1'!E49," ",'Personnel Yr 1'!F49)</f>
        <v xml:space="preserve">  </v>
      </c>
      <c r="B225" s="776"/>
      <c r="C225" s="82"/>
      <c r="D225" s="88"/>
      <c r="E225" s="88"/>
      <c r="F225" s="88"/>
      <c r="G225" s="88"/>
      <c r="H225" s="89"/>
    </row>
    <row r="226" spans="1:8" hidden="1" x14ac:dyDescent="0.2">
      <c r="A226" s="222" t="s">
        <v>69</v>
      </c>
      <c r="B226" s="243">
        <f>(C226/17)*C307</f>
        <v>0</v>
      </c>
      <c r="C226" s="84">
        <f>ROUND(('Personnel Yr 1'!S49),0)</f>
        <v>0</v>
      </c>
      <c r="D226" s="84">
        <f>IF(OR(ISBLANK('Personnel Yr 2'!R49),'Personnel Yr 2'!R49=""),0,ROUND(('Personnel Yr 2'!R49),0))</f>
        <v>0</v>
      </c>
      <c r="E226" s="84">
        <f>IF(OR(ISBLANK('Personnel Yr 3'!R49),'Personnel Yr 3'!R49=""),0,ROUND(('Personnel Yr 3'!R49),0))</f>
        <v>0</v>
      </c>
      <c r="F226" s="84">
        <f>IF(OR(ISBLANK('Personnel Yr 4'!R49),'Personnel Yr 4'!R49=""),0,ROUND(('Personnel Yr 4'!R49),0))</f>
        <v>0</v>
      </c>
      <c r="G226" s="84">
        <f>IF(OR(ISBLANK('Personnel Yr 5'!R49),'Personnel Yr 5'!R49=""),0,ROUND(('Personnel Yr 5'!R49),0))</f>
        <v>0</v>
      </c>
      <c r="H226" s="84">
        <f>SUM(C226:G226)</f>
        <v>0</v>
      </c>
    </row>
    <row r="227" spans="1:8" hidden="1" x14ac:dyDescent="0.2">
      <c r="A227" s="222" t="s">
        <v>130</v>
      </c>
      <c r="B227" s="243">
        <f>(C227/17)*C310</f>
        <v>0</v>
      </c>
      <c r="C227" s="84">
        <f>ROUND(('Personnel Yr 1'!R49),0)</f>
        <v>0</v>
      </c>
      <c r="D227" s="84">
        <f>IF(OR(ISBLANK('Personnel Yr 2'!Q49),'Personnel Yr 2'!Q49=""),0,ROUND(('Personnel Yr 2'!Q49),0))</f>
        <v>0</v>
      </c>
      <c r="E227" s="84">
        <f>IF(OR(ISBLANK('Personnel Yr 3'!Q49),'Personnel Yr 3'!Q49=""),0,ROUND(('Personnel Yr 3'!Q49),0))</f>
        <v>0</v>
      </c>
      <c r="F227" s="84">
        <f>IF(OR(ISBLANK('Personnel Yr 4'!Q49),'Personnel Yr 4'!Q49=""),0,ROUND(('Personnel Yr 4'!Q49),0))</f>
        <v>0</v>
      </c>
      <c r="G227" s="84">
        <f>IF(OR(ISBLANK('Personnel Yr 5'!Q49),'Personnel Yr 5'!Q49=""),0,ROUND(('Personnel Yr 5'!Q49),0))</f>
        <v>0</v>
      </c>
      <c r="H227" s="84">
        <f>SUM(C227:G227)</f>
        <v>0</v>
      </c>
    </row>
    <row r="228" spans="1:8" hidden="1" x14ac:dyDescent="0.2">
      <c r="A228" s="222" t="s">
        <v>131</v>
      </c>
      <c r="B228" s="241"/>
      <c r="C228" s="84">
        <f>ROUND(('Personnel Yr 1'!Q49),0)</f>
        <v>0</v>
      </c>
      <c r="D228" s="84">
        <f>IF(OR(ISBLANK('Personnel Yr 2'!P49),'Personnel Yr 2'!P49=""),0,ROUND(('Personnel Yr 2'!P49),0))</f>
        <v>0</v>
      </c>
      <c r="E228" s="84">
        <f>IF(OR(ISBLANK('Personnel Yr 3'!P49),'Personnel Yr 3'!P49=""),0,ROUND(('Personnel Yr 3'!P49),0))</f>
        <v>0</v>
      </c>
      <c r="F228" s="84">
        <f>IF(OR(ISBLANK('Personnel Yr 4'!P49),'Personnel Yr 4'!P49=""),0,ROUND(('Personnel Yr 4'!P49),0))</f>
        <v>0</v>
      </c>
      <c r="G228" s="84">
        <f>IF(OR(ISBLANK('Personnel Yr 5'!P49),'Personnel Yr 5'!P49=""),0,ROUND(('Personnel Yr 5'!P49),0))</f>
        <v>0</v>
      </c>
      <c r="H228" s="84">
        <f>SUM(C228:G228)</f>
        <v>0</v>
      </c>
    </row>
    <row r="229" spans="1:8" hidden="1" x14ac:dyDescent="0.2">
      <c r="A229" s="775" t="str">
        <f>CONCATENATE('Personnel Yr 1'!B50, IF(OR(ISBLANK('Personnel Yr 1'!B50),'Personnel Yr 1'!B50=""),""," "),'Personnel Yr 1'!C50, " ",'Personnel Yr 1'!D50,IF(OR(ISBLANK('Personnel Yr 1'!D50),'Personnel Yr 1'!D50=""),""," "),'Personnel Yr 1'!E50," ",'Personnel Yr 1'!F50)</f>
        <v xml:space="preserve">  </v>
      </c>
      <c r="B229" s="776"/>
      <c r="C229" s="85"/>
      <c r="D229" s="86"/>
      <c r="E229" s="86"/>
      <c r="F229" s="86"/>
      <c r="G229" s="86"/>
      <c r="H229" s="87"/>
    </row>
    <row r="230" spans="1:8" hidden="1" x14ac:dyDescent="0.2">
      <c r="A230" s="222" t="s">
        <v>69</v>
      </c>
      <c r="B230" s="243">
        <f>(C230/17)*C314</f>
        <v>0</v>
      </c>
      <c r="C230" s="84">
        <f>ROUND(('Personnel Yr 1'!S50),0)</f>
        <v>0</v>
      </c>
      <c r="D230" s="84">
        <f>IF(OR(ISBLANK('Personnel Yr 2'!R50),'Personnel Yr 2'!R50=""),0,ROUND(('Personnel Yr 2'!R50),0))</f>
        <v>0</v>
      </c>
      <c r="E230" s="84">
        <f>IF(OR(ISBLANK('Personnel Yr 3'!R50),'Personnel Yr 3'!R50=""),0,ROUND(('Personnel Yr 3'!R50),0))</f>
        <v>0</v>
      </c>
      <c r="F230" s="84">
        <f>IF(OR(ISBLANK('Personnel Yr 4'!R50),'Personnel Yr 4'!R50=""),0,ROUND(('Personnel Yr 4'!R50),0))</f>
        <v>0</v>
      </c>
      <c r="G230" s="84">
        <f>IF(OR(ISBLANK('Personnel Yr 5'!R50),'Personnel Yr 5'!R50=""),0,ROUND(('Personnel Yr 5'!R50),0))</f>
        <v>0</v>
      </c>
      <c r="H230" s="84">
        <f>SUM(C230:G230)</f>
        <v>0</v>
      </c>
    </row>
    <row r="231" spans="1:8" hidden="1" x14ac:dyDescent="0.2">
      <c r="A231" s="222" t="s">
        <v>130</v>
      </c>
      <c r="B231" s="243">
        <f>(C231/17)*C317</f>
        <v>0</v>
      </c>
      <c r="C231" s="84">
        <f>ROUND(('Personnel Yr 1'!R50),0)</f>
        <v>0</v>
      </c>
      <c r="D231" s="84">
        <f>IF(OR(ISBLANK('Personnel Yr 2'!Q50),'Personnel Yr 2'!Q50=""),0,ROUND(('Personnel Yr 2'!Q50),0))</f>
        <v>0</v>
      </c>
      <c r="E231" s="84">
        <f>IF(OR(ISBLANK('Personnel Yr 3'!Q50),'Personnel Yr 3'!Q50=""),0,ROUND(('Personnel Yr 3'!Q50),0))</f>
        <v>0</v>
      </c>
      <c r="F231" s="84">
        <f>IF(OR(ISBLANK('Personnel Yr 4'!Q50),'Personnel Yr 4'!Q50=""),0,ROUND(('Personnel Yr 4'!Q50),0))</f>
        <v>0</v>
      </c>
      <c r="G231" s="84">
        <f>IF(OR(ISBLANK('Personnel Yr 5'!Q50),'Personnel Yr 5'!Q50=""),0,ROUND(('Personnel Yr 5'!Q50),0))</f>
        <v>0</v>
      </c>
      <c r="H231" s="84">
        <f>SUM(C231:G231)</f>
        <v>0</v>
      </c>
    </row>
    <row r="232" spans="1:8" hidden="1" x14ac:dyDescent="0.2">
      <c r="A232" s="222" t="s">
        <v>131</v>
      </c>
      <c r="B232" s="241"/>
      <c r="C232" s="84">
        <f>ROUND(('Personnel Yr 1'!Q50),0)</f>
        <v>0</v>
      </c>
      <c r="D232" s="84">
        <f>IF(OR(ISBLANK('Personnel Yr 2'!P50),'Personnel Yr 2'!P50=""),0,ROUND(('Personnel Yr 2'!P50),0))</f>
        <v>0</v>
      </c>
      <c r="E232" s="84">
        <f>IF(OR(ISBLANK('Personnel Yr 3'!P50),'Personnel Yr 3'!P50=""),0,ROUND(('Personnel Yr 3'!P50),0))</f>
        <v>0</v>
      </c>
      <c r="F232" s="84">
        <f>IF(OR(ISBLANK('Personnel Yr 4'!P50),'Personnel Yr 4'!P50=""),0,ROUND(('Personnel Yr 4'!P50),0))</f>
        <v>0</v>
      </c>
      <c r="G232" s="84">
        <f>IF(OR(ISBLANK('Personnel Yr 5'!P50),'Personnel Yr 5'!P50=""),0,ROUND(('Personnel Yr 5'!P50),0))</f>
        <v>0</v>
      </c>
      <c r="H232" s="84">
        <f>SUM(C232:G232)</f>
        <v>0</v>
      </c>
    </row>
    <row r="233" spans="1:8" hidden="1" x14ac:dyDescent="0.2">
      <c r="A233" s="775" t="str">
        <f>CONCATENATE('Personnel Yr 1'!B51, IF(OR(ISBLANK('Personnel Yr 1'!B51),'Personnel Yr 1'!B51=""),""," "),'Personnel Yr 1'!C51, " ",'Personnel Yr 1'!D51,IF(OR(ISBLANK('Personnel Yr 1'!D51),'Personnel Yr 1'!D51=""),""," "),'Personnel Yr 1'!E51," ",'Personnel Yr 1'!F51)</f>
        <v xml:space="preserve">  </v>
      </c>
      <c r="B233" s="776"/>
      <c r="C233" s="85"/>
      <c r="D233" s="86"/>
      <c r="E233" s="86"/>
      <c r="F233" s="86"/>
      <c r="G233" s="86"/>
      <c r="H233" s="87"/>
    </row>
    <row r="234" spans="1:8" hidden="1" x14ac:dyDescent="0.2">
      <c r="A234" s="222" t="s">
        <v>69</v>
      </c>
      <c r="B234" s="243">
        <f>(C234/17)*C321</f>
        <v>0</v>
      </c>
      <c r="C234" s="84">
        <f>ROUND(('Personnel Yr 1'!S51),0)</f>
        <v>0</v>
      </c>
      <c r="D234" s="84">
        <f>IF(OR(ISBLANK('Personnel Yr 2'!R51),'Personnel Yr 2'!R51=""),0,ROUND(('Personnel Yr 2'!R51),0))</f>
        <v>0</v>
      </c>
      <c r="E234" s="84">
        <f>IF(OR(ISBLANK('Personnel Yr 3'!R51),'Personnel Yr 3'!R51=""),0,ROUND(('Personnel Yr 3'!R51),0))</f>
        <v>0</v>
      </c>
      <c r="F234" s="84">
        <f>IF(OR(ISBLANK('Personnel Yr 4'!R51),'Personnel Yr 4'!R51=""),0,ROUND(('Personnel Yr 4'!R51),0))</f>
        <v>0</v>
      </c>
      <c r="G234" s="84">
        <f>IF(OR(ISBLANK('Personnel Yr 5'!R51),'Personnel Yr 5'!R51=""),0,ROUND(('Personnel Yr 5'!R51),0))</f>
        <v>0</v>
      </c>
      <c r="H234" s="84">
        <f>SUM(C234:G234)</f>
        <v>0</v>
      </c>
    </row>
    <row r="235" spans="1:8" hidden="1" x14ac:dyDescent="0.2">
      <c r="A235" s="222" t="s">
        <v>130</v>
      </c>
      <c r="B235" s="243">
        <f>(C235/17)*C324</f>
        <v>0</v>
      </c>
      <c r="C235" s="84">
        <f>ROUND(('Personnel Yr 1'!R51),0)</f>
        <v>0</v>
      </c>
      <c r="D235" s="84">
        <f>IF(OR(ISBLANK('Personnel Yr 2'!Q51),'Personnel Yr 2'!Q51=""),0,ROUND(('Personnel Yr 2'!Q51),0))</f>
        <v>0</v>
      </c>
      <c r="E235" s="84">
        <f>IF(OR(ISBLANK('Personnel Yr 3'!Q51),'Personnel Yr 3'!Q51=""),0,ROUND(('Personnel Yr 3'!Q51),0))</f>
        <v>0</v>
      </c>
      <c r="F235" s="84">
        <f>IF(OR(ISBLANK('Personnel Yr 4'!Q51),'Personnel Yr 4'!Q51=""),0,ROUND(('Personnel Yr 4'!Q51),0))</f>
        <v>0</v>
      </c>
      <c r="G235" s="84">
        <f>IF(OR(ISBLANK('Personnel Yr 5'!Q51),'Personnel Yr 5'!Q51=""),0,ROUND(('Personnel Yr 5'!Q51),0))</f>
        <v>0</v>
      </c>
      <c r="H235" s="84">
        <f>SUM(C235:G235)</f>
        <v>0</v>
      </c>
    </row>
    <row r="236" spans="1:8" hidden="1" x14ac:dyDescent="0.2">
      <c r="A236" s="222" t="s">
        <v>131</v>
      </c>
      <c r="B236" s="241"/>
      <c r="C236" s="128">
        <f>ROUND(('Personnel Yr 1'!Q51),0)</f>
        <v>0</v>
      </c>
      <c r="D236" s="128">
        <f>IF(OR(ISBLANK('Personnel Yr 2'!P51),'Personnel Yr 2'!P51=""),0,ROUND(('Personnel Yr 2'!P51),0))</f>
        <v>0</v>
      </c>
      <c r="E236" s="128">
        <f>IF(OR(ISBLANK('Personnel Yr 3'!P51),'Personnel Yr 3'!P51=""),0,ROUND(('Personnel Yr 3'!P51),0))</f>
        <v>0</v>
      </c>
      <c r="F236" s="128">
        <f>IF(OR(ISBLANK('Personnel Yr 4'!P51),'Personnel Yr 4'!P51=""),0,ROUND(('Personnel Yr 4'!P51),0))</f>
        <v>0</v>
      </c>
      <c r="G236" s="128">
        <f>IF(OR(ISBLANK('Personnel Yr 5'!P51),'Personnel Yr 5'!P51=""),0,ROUND(('Personnel Yr 5'!P51),0))</f>
        <v>0</v>
      </c>
      <c r="H236" s="128">
        <f>SUM(C236:G236)</f>
        <v>0</v>
      </c>
    </row>
    <row r="237" spans="1:8" hidden="1" x14ac:dyDescent="0.2">
      <c r="A237" s="775" t="str">
        <f>CONCATENATE('Personnel Yr 1'!B52, IF(OR(ISBLANK('Personnel Yr 1'!B52),'Personnel Yr 1'!B52=""),""," "),'Personnel Yr 1'!C52, " ",'Personnel Yr 1'!D52,IF(OR(ISBLANK('Personnel Yr 1'!D52),'Personnel Yr 1'!D52=""),""," "),'Personnel Yr 1'!E52," ",'Personnel Yr 1'!F52)</f>
        <v xml:space="preserve">  </v>
      </c>
      <c r="B237" s="776"/>
      <c r="C237" s="187"/>
      <c r="D237" s="188"/>
      <c r="E237" s="188"/>
      <c r="F237" s="188"/>
      <c r="G237" s="188"/>
      <c r="H237" s="189"/>
    </row>
    <row r="238" spans="1:8" hidden="1" x14ac:dyDescent="0.2">
      <c r="A238" s="222" t="s">
        <v>69</v>
      </c>
      <c r="B238" s="243">
        <f>(C238/17)*C329</f>
        <v>0</v>
      </c>
      <c r="C238" s="84">
        <f>ROUND(('Personnel Yr 1'!S52),0)</f>
        <v>0</v>
      </c>
      <c r="D238" s="84">
        <f>IF(OR(ISBLANK('Personnel Yr 2'!R52),'Personnel Yr 2'!R52=""),0,ROUND(('Personnel Yr 2'!R52),0))</f>
        <v>0</v>
      </c>
      <c r="E238" s="84">
        <f>IF(OR(ISBLANK('Personnel Yr 3'!R52),'Personnel Yr 3'!R52=""),0,ROUND(('Personnel Yr 3'!R52),0))</f>
        <v>0</v>
      </c>
      <c r="F238" s="84">
        <f>IF(OR(ISBLANK('Personnel Yr 4'!R52),'Personnel Yr 4'!R52=""),0,ROUND(('Personnel Yr 4'!R52),0))</f>
        <v>0</v>
      </c>
      <c r="G238" s="84">
        <f>IF(OR(ISBLANK('Personnel Yr 5'!R52),'Personnel Yr 5'!R52=""),0,ROUND(('Personnel Yr 5'!R52),0))</f>
        <v>0</v>
      </c>
      <c r="H238" s="84">
        <f>SUM(C238:G238)</f>
        <v>0</v>
      </c>
    </row>
    <row r="239" spans="1:8" hidden="1" x14ac:dyDescent="0.2">
      <c r="A239" s="222" t="s">
        <v>130</v>
      </c>
      <c r="B239" s="243">
        <f>(C239/17)*C332</f>
        <v>0</v>
      </c>
      <c r="C239" s="84">
        <f>ROUND(('Personnel Yr 1'!R52),0)</f>
        <v>0</v>
      </c>
      <c r="D239" s="84">
        <f>IF(OR(ISBLANK('Personnel Yr 2'!Q52),'Personnel Yr 2'!Q52=""),0,ROUND(('Personnel Yr 2'!Q52),0))</f>
        <v>0</v>
      </c>
      <c r="E239" s="84">
        <f>IF(OR(ISBLANK('Personnel Yr 3'!Q52),'Personnel Yr 3'!Q52=""),0,ROUND(('Personnel Yr 3'!Q52),0))</f>
        <v>0</v>
      </c>
      <c r="F239" s="84">
        <f>IF(OR(ISBLANK('Personnel Yr 4'!Q52),'Personnel Yr 4'!Q52=""),0,ROUND(('Personnel Yr 4'!Q52),0))</f>
        <v>0</v>
      </c>
      <c r="G239" s="84">
        <f>IF(OR(ISBLANK('Personnel Yr 5'!Q52),'Personnel Yr 5'!Q52=""),0,ROUND(('Personnel Yr 5'!Q52),0))</f>
        <v>0</v>
      </c>
      <c r="H239" s="84">
        <f>SUM(C239:G239)</f>
        <v>0</v>
      </c>
    </row>
    <row r="240" spans="1:8" hidden="1" x14ac:dyDescent="0.2">
      <c r="A240" s="222" t="s">
        <v>131</v>
      </c>
      <c r="B240" s="241"/>
      <c r="C240" s="84">
        <f>ROUND(('Personnel Yr 1'!Q52),0)</f>
        <v>0</v>
      </c>
      <c r="D240" s="84">
        <f>IF(OR(ISBLANK('Personnel Yr 2'!P52),'Personnel Yr 2'!P52=""),0,ROUND(('Personnel Yr 2'!P52),0))</f>
        <v>0</v>
      </c>
      <c r="E240" s="84">
        <f>IF(OR(ISBLANK('Personnel Yr 3'!P52),'Personnel Yr 3'!P52=""),0,ROUND(('Personnel Yr 3'!P52),0))</f>
        <v>0</v>
      </c>
      <c r="F240" s="84">
        <f>IF(OR(ISBLANK('Personnel Yr 4'!P52),'Personnel Yr 4'!P52=""),0,ROUND(('Personnel Yr 4'!P52),0))</f>
        <v>0</v>
      </c>
      <c r="G240" s="84">
        <f>IF(OR(ISBLANK('Personnel Yr 5'!P52),'Personnel Yr 5'!P52=""),0,ROUND(('Personnel Yr 5'!P52),0))</f>
        <v>0</v>
      </c>
      <c r="H240" s="84">
        <f>SUM(C240:G240)</f>
        <v>0</v>
      </c>
    </row>
    <row r="241" spans="1:8" hidden="1" x14ac:dyDescent="0.2">
      <c r="A241" s="775" t="str">
        <f>CONCATENATE('Personnel Yr 1'!B53, IF(OR(ISBLANK('Personnel Yr 1'!B53),'Personnel Yr 1'!B53=""),""," "),'Personnel Yr 1'!C53, " ",'Personnel Yr 1'!D53,IF(OR(ISBLANK('Personnel Yr 1'!D53),'Personnel Yr 1'!D53=""),""," "),'Personnel Yr 1'!E53," ",'Personnel Yr 1'!F53)</f>
        <v xml:space="preserve">  </v>
      </c>
      <c r="B241" s="776"/>
      <c r="C241" s="85"/>
      <c r="D241" s="86"/>
      <c r="E241" s="86"/>
      <c r="F241" s="86"/>
      <c r="G241" s="86"/>
      <c r="H241" s="87"/>
    </row>
    <row r="242" spans="1:8" hidden="1" x14ac:dyDescent="0.2">
      <c r="A242" s="222" t="s">
        <v>69</v>
      </c>
      <c r="B242" s="243">
        <f>(C242/17)*C336</f>
        <v>0</v>
      </c>
      <c r="C242" s="84">
        <f>ROUND(('Personnel Yr 1'!S53),0)</f>
        <v>0</v>
      </c>
      <c r="D242" s="84">
        <f>IF(OR(ISBLANK('Personnel Yr 2'!R53),'Personnel Yr 2'!R53=""),0,ROUND(('Personnel Yr 2'!R53),0))</f>
        <v>0</v>
      </c>
      <c r="E242" s="84">
        <f>IF(OR(ISBLANK('Personnel Yr 3'!R53),'Personnel Yr 3'!R53=""),0,ROUND(('Personnel Yr 3'!R53),0))</f>
        <v>0</v>
      </c>
      <c r="F242" s="84">
        <f>IF(OR(ISBLANK('Personnel Yr 4'!R53),'Personnel Yr 4'!R53=""),0,ROUND(('Personnel Yr 4'!R53),0))</f>
        <v>0</v>
      </c>
      <c r="G242" s="84">
        <f>IF(OR(ISBLANK('Personnel Yr 5'!R53),'Personnel Yr 5'!R53=""),0,ROUND(('Personnel Yr 5'!R53),0))</f>
        <v>0</v>
      </c>
      <c r="H242" s="84">
        <f>SUM(C242:G242)</f>
        <v>0</v>
      </c>
    </row>
    <row r="243" spans="1:8" hidden="1" x14ac:dyDescent="0.2">
      <c r="A243" s="222" t="s">
        <v>130</v>
      </c>
      <c r="B243" s="243">
        <f>(C243/17)*C339</f>
        <v>0</v>
      </c>
      <c r="C243" s="84">
        <f>ROUND(('Personnel Yr 1'!R53),0)</f>
        <v>0</v>
      </c>
      <c r="D243" s="84">
        <f>IF(OR(ISBLANK('Personnel Yr 2'!Q53),'Personnel Yr 2'!Q53=""),0,ROUND(('Personnel Yr 2'!Q53),0))</f>
        <v>0</v>
      </c>
      <c r="E243" s="84">
        <f>IF(OR(ISBLANK('Personnel Yr 3'!Q53),'Personnel Yr 3'!Q53=""),0,ROUND(('Personnel Yr 3'!Q53),0))</f>
        <v>0</v>
      </c>
      <c r="F243" s="84">
        <f>IF(OR(ISBLANK('Personnel Yr 4'!Q53),'Personnel Yr 4'!Q53=""),0,ROUND(('Personnel Yr 4'!Q53),0))</f>
        <v>0</v>
      </c>
      <c r="G243" s="84">
        <f>IF(OR(ISBLANK('Personnel Yr 5'!Q53),'Personnel Yr 5'!Q53=""),0,ROUND(('Personnel Yr 5'!Q53),0))</f>
        <v>0</v>
      </c>
      <c r="H243" s="84">
        <f>SUM(C243:G243)</f>
        <v>0</v>
      </c>
    </row>
    <row r="244" spans="1:8" hidden="1" x14ac:dyDescent="0.2">
      <c r="A244" s="222" t="s">
        <v>131</v>
      </c>
      <c r="B244" s="241"/>
      <c r="C244" s="84">
        <f>ROUND(('Personnel Yr 1'!Q53),0)</f>
        <v>0</v>
      </c>
      <c r="D244" s="84">
        <f>IF(OR(ISBLANK('Personnel Yr 2'!P53),'Personnel Yr 2'!P53=""),0,ROUND(('Personnel Yr 2'!P53),0))</f>
        <v>0</v>
      </c>
      <c r="E244" s="84">
        <f>IF(OR(ISBLANK('Personnel Yr 3'!P53),'Personnel Yr 3'!P53=""),0,ROUND(('Personnel Yr 3'!P53),0))</f>
        <v>0</v>
      </c>
      <c r="F244" s="84">
        <f>IF(OR(ISBLANK('Personnel Yr 4'!P53),'Personnel Yr 4'!P53=""),0,ROUND(('Personnel Yr 4'!P53),0))</f>
        <v>0</v>
      </c>
      <c r="G244" s="84">
        <f>IF(OR(ISBLANK('Personnel Yr 5'!P53),'Personnel Yr 5'!P53=""),0,ROUND(('Personnel Yr 5'!P53),0))</f>
        <v>0</v>
      </c>
      <c r="H244" s="84">
        <f>SUM(C244:G244)</f>
        <v>0</v>
      </c>
    </row>
    <row r="245" spans="1:8" hidden="1" x14ac:dyDescent="0.2">
      <c r="A245" s="775" t="str">
        <f>CONCATENATE('Personnel Yr 1'!B54, IF(OR(ISBLANK('Personnel Yr 1'!B54),'Personnel Yr 1'!B54=""),""," "),'Personnel Yr 1'!C54, " ",'Personnel Yr 1'!D54,IF(OR(ISBLANK('Personnel Yr 1'!D54),'Personnel Yr 1'!D54=""),""," "),'Personnel Yr 1'!E54," ",'Personnel Yr 1'!F54)</f>
        <v xml:space="preserve">  </v>
      </c>
      <c r="B245" s="776"/>
      <c r="C245" s="85"/>
      <c r="D245" s="86"/>
      <c r="E245" s="86"/>
      <c r="F245" s="86"/>
      <c r="G245" s="86"/>
      <c r="H245" s="87"/>
    </row>
    <row r="246" spans="1:8" hidden="1" x14ac:dyDescent="0.2">
      <c r="A246" s="222" t="s">
        <v>69</v>
      </c>
      <c r="B246" s="243">
        <f>(C246/17)*C343</f>
        <v>0</v>
      </c>
      <c r="C246" s="84">
        <f>ROUND(('Personnel Yr 1'!S54),0)</f>
        <v>0</v>
      </c>
      <c r="D246" s="84">
        <f>IF(OR(ISBLANK('Personnel Yr 2'!R54),'Personnel Yr 2'!R54=""),0,ROUND(('Personnel Yr 2'!R54),0))</f>
        <v>0</v>
      </c>
      <c r="E246" s="84">
        <f>IF(OR(ISBLANK('Personnel Yr 3'!R54),'Personnel Yr 3'!R54=""),0,ROUND(('Personnel Yr 3'!R54),0))</f>
        <v>0</v>
      </c>
      <c r="F246" s="84">
        <f>IF(OR(ISBLANK('Personnel Yr 4'!R54),'Personnel Yr 4'!R54=""),0,ROUND(('Personnel Yr 4'!R54),0))</f>
        <v>0</v>
      </c>
      <c r="G246" s="84">
        <f>IF(OR(ISBLANK('Personnel Yr 5'!R54),'Personnel Yr 5'!R54=""),0,ROUND(('Personnel Yr 5'!R54),0))</f>
        <v>0</v>
      </c>
      <c r="H246" s="84">
        <f>SUM(C246:G246)</f>
        <v>0</v>
      </c>
    </row>
    <row r="247" spans="1:8" hidden="1" x14ac:dyDescent="0.2">
      <c r="A247" s="222" t="s">
        <v>130</v>
      </c>
      <c r="B247" s="243">
        <f>(C247/17)*C346</f>
        <v>0</v>
      </c>
      <c r="C247" s="84">
        <f>ROUND(('Personnel Yr 1'!R54),0)</f>
        <v>0</v>
      </c>
      <c r="D247" s="84">
        <f>IF(OR(ISBLANK('Personnel Yr 2'!Q54),'Personnel Yr 2'!Q54=""),0,ROUND(('Personnel Yr 2'!Q54),0))</f>
        <v>0</v>
      </c>
      <c r="E247" s="84">
        <f>IF(OR(ISBLANK('Personnel Yr 3'!Q54),'Personnel Yr 3'!Q54=""),0,ROUND(('Personnel Yr 3'!Q54),0))</f>
        <v>0</v>
      </c>
      <c r="F247" s="84">
        <f>IF(OR(ISBLANK('Personnel Yr 4'!Q54),'Personnel Yr 4'!Q54=""),0,ROUND(('Personnel Yr 4'!Q54),0))</f>
        <v>0</v>
      </c>
      <c r="G247" s="84">
        <f>IF(OR(ISBLANK('Personnel Yr 5'!Q54),'Personnel Yr 5'!Q54=""),0,ROUND(('Personnel Yr 5'!Q54),0))</f>
        <v>0</v>
      </c>
      <c r="H247" s="84">
        <f>SUM(C247:G247)</f>
        <v>0</v>
      </c>
    </row>
    <row r="248" spans="1:8" hidden="1" x14ac:dyDescent="0.2">
      <c r="A248" s="222" t="s">
        <v>131</v>
      </c>
      <c r="B248" s="241"/>
      <c r="C248" s="84">
        <f>ROUND(('Personnel Yr 1'!Q54),0)</f>
        <v>0</v>
      </c>
      <c r="D248" s="84">
        <f>IF(OR(ISBLANK('Personnel Yr 2'!P54),'Personnel Yr 2'!P54=""),0,ROUND(('Personnel Yr 2'!P54),0))</f>
        <v>0</v>
      </c>
      <c r="E248" s="84">
        <f>IF(OR(ISBLANK('Personnel Yr 3'!P54),'Personnel Yr 3'!P54=""),0,ROUND(('Personnel Yr 3'!P54),0))</f>
        <v>0</v>
      </c>
      <c r="F248" s="84">
        <f>IF(OR(ISBLANK('Personnel Yr 4'!P54),'Personnel Yr 4'!P54=""),0,ROUND(('Personnel Yr 4'!P54),0))</f>
        <v>0</v>
      </c>
      <c r="G248" s="84">
        <f>IF(OR(ISBLANK('Personnel Yr 5'!P54),'Personnel Yr 5'!P54=""),0,ROUND(('Personnel Yr 5'!P54),0))</f>
        <v>0</v>
      </c>
      <c r="H248" s="84">
        <f>SUM(C248:G248)</f>
        <v>0</v>
      </c>
    </row>
    <row r="249" spans="1:8" hidden="1" x14ac:dyDescent="0.2">
      <c r="A249" s="775" t="str">
        <f>CONCATENATE('Personnel Yr 1'!B55, IF(OR(ISBLANK('Personnel Yr 1'!B55),'Personnel Yr 1'!B55=""),""," "),'Personnel Yr 1'!C55, " ",'Personnel Yr 1'!D55,IF(OR(ISBLANK('Personnel Yr 1'!D55),'Personnel Yr 1'!D55=""),""," "),'Personnel Yr 1'!E55," ",'Personnel Yr 1'!F55)</f>
        <v xml:space="preserve">  </v>
      </c>
      <c r="B249" s="776"/>
      <c r="C249" s="85"/>
      <c r="D249" s="86"/>
      <c r="E249" s="86"/>
      <c r="F249" s="86"/>
      <c r="G249" s="86"/>
      <c r="H249" s="87"/>
    </row>
    <row r="250" spans="1:8" hidden="1" x14ac:dyDescent="0.2">
      <c r="A250" s="222" t="s">
        <v>69</v>
      </c>
      <c r="B250" s="243">
        <f>(C250/17)*C350</f>
        <v>0</v>
      </c>
      <c r="C250" s="84">
        <f>ROUND(('Personnel Yr 1'!S55),0)</f>
        <v>0</v>
      </c>
      <c r="D250" s="84">
        <f>IF(OR(ISBLANK('Personnel Yr 2'!R55),'Personnel Yr 2'!R55=""),0,ROUND(('Personnel Yr 2'!R55),0))</f>
        <v>0</v>
      </c>
      <c r="E250" s="84">
        <f>IF(OR(ISBLANK('Personnel Yr 3'!R55),'Personnel Yr 3'!R55=""),0,ROUND(('Personnel Yr 3'!R55),0))</f>
        <v>0</v>
      </c>
      <c r="F250" s="84">
        <f>IF(OR(ISBLANK('Personnel Yr 4'!R55),'Personnel Yr 4'!R55=""),0,ROUND(('Personnel Yr 4'!R55),0))</f>
        <v>0</v>
      </c>
      <c r="G250" s="84">
        <f>IF(OR(ISBLANK('Personnel Yr 5'!R55),'Personnel Yr 5'!R55=""),0,ROUND(('Personnel Yr 5'!R55),0))</f>
        <v>0</v>
      </c>
      <c r="H250" s="84">
        <f>SUM(C250:G250)</f>
        <v>0</v>
      </c>
    </row>
    <row r="251" spans="1:8" hidden="1" x14ac:dyDescent="0.2">
      <c r="A251" s="222" t="s">
        <v>130</v>
      </c>
      <c r="B251" s="243">
        <f>(C251/17)*C353</f>
        <v>0</v>
      </c>
      <c r="C251" s="84">
        <f>ROUND(('Personnel Yr 1'!R55),0)</f>
        <v>0</v>
      </c>
      <c r="D251" s="84">
        <f>IF(OR(ISBLANK('Personnel Yr 2'!Q55),'Personnel Yr 2'!Q55=""),0,ROUND(('Personnel Yr 2'!Q55),0))</f>
        <v>0</v>
      </c>
      <c r="E251" s="84">
        <f>IF(OR(ISBLANK('Personnel Yr 3'!Q55),'Personnel Yr 3'!Q55=""),0,ROUND(('Personnel Yr 3'!Q55),0))</f>
        <v>0</v>
      </c>
      <c r="F251" s="84">
        <f>IF(OR(ISBLANK('Personnel Yr 4'!Q55),'Personnel Yr 4'!Q55=""),0,ROUND(('Personnel Yr 4'!Q55),0))</f>
        <v>0</v>
      </c>
      <c r="G251" s="84">
        <f>IF(OR(ISBLANK('Personnel Yr 5'!Q55),'Personnel Yr 5'!Q55=""),0,ROUND(('Personnel Yr 5'!Q55),0))</f>
        <v>0</v>
      </c>
      <c r="H251" s="84">
        <f>SUM(C251:G251)</f>
        <v>0</v>
      </c>
    </row>
    <row r="252" spans="1:8" hidden="1" x14ac:dyDescent="0.2">
      <c r="A252" s="222" t="s">
        <v>131</v>
      </c>
      <c r="B252" s="241"/>
      <c r="C252" s="84">
        <f>ROUND(('Personnel Yr 1'!Q55),0)</f>
        <v>0</v>
      </c>
      <c r="D252" s="84">
        <f>IF(OR(ISBLANK('Personnel Yr 2'!P55),'Personnel Yr 2'!P55=""),0,ROUND(('Personnel Yr 2'!P55),0))</f>
        <v>0</v>
      </c>
      <c r="E252" s="84">
        <f>IF(OR(ISBLANK('Personnel Yr 3'!P55),'Personnel Yr 3'!P55=""),0,ROUND(('Personnel Yr 3'!P55),0))</f>
        <v>0</v>
      </c>
      <c r="F252" s="84">
        <f>IF(OR(ISBLANK('Personnel Yr 4'!P55),'Personnel Yr 4'!P55=""),0,ROUND(('Personnel Yr 4'!P55),0))</f>
        <v>0</v>
      </c>
      <c r="G252" s="84">
        <f>IF(OR(ISBLANK('Personnel Yr 5'!P55),'Personnel Yr 5'!P55=""),0,ROUND(('Personnel Yr 5'!P55),0))</f>
        <v>0</v>
      </c>
      <c r="H252" s="84">
        <f>SUM(C252:G252)</f>
        <v>0</v>
      </c>
    </row>
    <row r="253" spans="1:8" hidden="1" x14ac:dyDescent="0.2">
      <c r="A253" s="775" t="str">
        <f>CONCATENATE('Personnel Yr 1'!B56, IF(OR(ISBLANK('Personnel Yr 1'!B56),'Personnel Yr 1'!B56=""),""," "),'Personnel Yr 1'!C56, " ",'Personnel Yr 1'!D56,IF(OR(ISBLANK('Personnel Yr 1'!D56),'Personnel Yr 1'!D56=""),""," "),'Personnel Yr 1'!E56," ",'Personnel Yr 1'!F56)</f>
        <v xml:space="preserve">  </v>
      </c>
      <c r="B253" s="776"/>
      <c r="C253" s="82"/>
      <c r="D253" s="88"/>
      <c r="E253" s="88"/>
      <c r="F253" s="88"/>
      <c r="G253" s="88"/>
      <c r="H253" s="89"/>
    </row>
    <row r="254" spans="1:8" hidden="1" x14ac:dyDescent="0.2">
      <c r="A254" s="222" t="s">
        <v>69</v>
      </c>
      <c r="B254" s="243">
        <f>(C254/17)*C357</f>
        <v>0</v>
      </c>
      <c r="C254" s="84">
        <f>ROUND(('Personnel Yr 1'!S56),0)</f>
        <v>0</v>
      </c>
      <c r="D254" s="84">
        <f>IF(OR(ISBLANK('Personnel Yr 2'!R56),'Personnel Yr 2'!R56=""),0,ROUND(('Personnel Yr 2'!R56),0))</f>
        <v>0</v>
      </c>
      <c r="E254" s="84">
        <f>IF(OR(ISBLANK('Personnel Yr 3'!R56),'Personnel Yr 3'!R56=""),0,ROUND(('Personnel Yr 3'!R56),0))</f>
        <v>0</v>
      </c>
      <c r="F254" s="84">
        <f>IF(OR(ISBLANK('Personnel Yr 4'!R56),'Personnel Yr 4'!R56=""),0,ROUND(('Personnel Yr 4'!R56),0))</f>
        <v>0</v>
      </c>
      <c r="G254" s="84">
        <f>IF(OR(ISBLANK('Personnel Yr 5'!R56),'Personnel Yr 5'!R56=""),0,ROUND(('Personnel Yr 5'!R56),0))</f>
        <v>0</v>
      </c>
      <c r="H254" s="84">
        <f>SUM(C254:G254)</f>
        <v>0</v>
      </c>
    </row>
    <row r="255" spans="1:8" hidden="1" x14ac:dyDescent="0.2">
      <c r="A255" s="222" t="s">
        <v>130</v>
      </c>
      <c r="B255" s="243">
        <f>(C255/17)*C360</f>
        <v>0</v>
      </c>
      <c r="C255" s="84">
        <f>ROUND(('Personnel Yr 1'!R56),0)</f>
        <v>0</v>
      </c>
      <c r="D255" s="84">
        <f>IF(OR(ISBLANK('Personnel Yr 2'!Q56),'Personnel Yr 2'!Q56=""),0,ROUND(('Personnel Yr 2'!Q56),0))</f>
        <v>0</v>
      </c>
      <c r="E255" s="84">
        <f>IF(OR(ISBLANK('Personnel Yr 3'!Q56),'Personnel Yr 3'!Q56=""),0,ROUND(('Personnel Yr 3'!Q56),0))</f>
        <v>0</v>
      </c>
      <c r="F255" s="84">
        <f>IF(OR(ISBLANK('Personnel Yr 4'!Q56),'Personnel Yr 4'!Q56=""),0,ROUND(('Personnel Yr 4'!Q56),0))</f>
        <v>0</v>
      </c>
      <c r="G255" s="84">
        <f>IF(OR(ISBLANK('Personnel Yr 5'!Q56),'Personnel Yr 5'!Q56=""),0,ROUND(('Personnel Yr 5'!Q56),0))</f>
        <v>0</v>
      </c>
      <c r="H255" s="84">
        <f>SUM(C255:G255)</f>
        <v>0</v>
      </c>
    </row>
    <row r="256" spans="1:8" hidden="1" x14ac:dyDescent="0.2">
      <c r="A256" s="222" t="s">
        <v>131</v>
      </c>
      <c r="B256" s="241"/>
      <c r="C256" s="84">
        <f>ROUND(('Personnel Yr 1'!Q56),0)</f>
        <v>0</v>
      </c>
      <c r="D256" s="84">
        <f>IF(OR(ISBLANK('Personnel Yr 2'!P56),'Personnel Yr 2'!P56=""),0,ROUND(('Personnel Yr 2'!P56),0))</f>
        <v>0</v>
      </c>
      <c r="E256" s="84">
        <f>IF(OR(ISBLANK('Personnel Yr 3'!P56),'Personnel Yr 3'!P56=""),0,ROUND(('Personnel Yr 3'!P56),0))</f>
        <v>0</v>
      </c>
      <c r="F256" s="84">
        <f>IF(OR(ISBLANK('Personnel Yr 4'!P56),'Personnel Yr 4'!P56=""),0,ROUND(('Personnel Yr 4'!P56),0))</f>
        <v>0</v>
      </c>
      <c r="G256" s="84">
        <f>IF(OR(ISBLANK('Personnel Yr 5'!P56),'Personnel Yr 5'!P56=""),0,ROUND(('Personnel Yr 5'!P56),0))</f>
        <v>0</v>
      </c>
      <c r="H256" s="84">
        <f>SUM(C256:G256)</f>
        <v>0</v>
      </c>
    </row>
    <row r="257" spans="1:8" hidden="1" x14ac:dyDescent="0.2">
      <c r="A257" s="775" t="str">
        <f>CONCATENATE('Personnel Yr 1'!B57, IF(OR(ISBLANK('Personnel Yr 1'!B57),'Personnel Yr 1'!B57=""),""," "),'Personnel Yr 1'!C57, " ",'Personnel Yr 1'!D57,IF(OR(ISBLANK('Personnel Yr 1'!D57),'Personnel Yr 1'!D57=""),""," "),'Personnel Yr 1'!E57," ",'Personnel Yr 1'!F57)</f>
        <v xml:space="preserve">  </v>
      </c>
      <c r="B257" s="776"/>
      <c r="C257" s="85"/>
      <c r="D257" s="86"/>
      <c r="E257" s="86"/>
      <c r="F257" s="86"/>
      <c r="G257" s="86"/>
      <c r="H257" s="87"/>
    </row>
    <row r="258" spans="1:8" hidden="1" x14ac:dyDescent="0.2">
      <c r="A258" s="222" t="s">
        <v>69</v>
      </c>
      <c r="B258" s="243">
        <f>(C258/17)*C364</f>
        <v>0</v>
      </c>
      <c r="C258" s="84">
        <f>ROUND(('Personnel Yr 1'!S57),0)</f>
        <v>0</v>
      </c>
      <c r="D258" s="84">
        <f>IF(OR(ISBLANK('Personnel Yr 2'!R57),'Personnel Yr 2'!R57=""),0,ROUND(('Personnel Yr 2'!R57),0))</f>
        <v>0</v>
      </c>
      <c r="E258" s="84">
        <f>IF(OR(ISBLANK('Personnel Yr 3'!R57),'Personnel Yr 3'!R57=""),0,ROUND(('Personnel Yr 3'!R57),0))</f>
        <v>0</v>
      </c>
      <c r="F258" s="84">
        <f>IF(OR(ISBLANK('Personnel Yr 4'!R57),'Personnel Yr 4'!R57=""),0,ROUND(('Personnel Yr 4'!R57),0))</f>
        <v>0</v>
      </c>
      <c r="G258" s="84">
        <f>IF(OR(ISBLANK('Personnel Yr 5'!R57),'Personnel Yr 5'!R57=""),0,ROUND(('Personnel Yr 5'!R57),0))</f>
        <v>0</v>
      </c>
      <c r="H258" s="84">
        <f>SUM(C258:G258)</f>
        <v>0</v>
      </c>
    </row>
    <row r="259" spans="1:8" hidden="1" x14ac:dyDescent="0.2">
      <c r="A259" s="222" t="s">
        <v>130</v>
      </c>
      <c r="B259" s="243">
        <f>(C259/17)*C367</f>
        <v>0</v>
      </c>
      <c r="C259" s="84">
        <f>ROUND(('Personnel Yr 1'!R57),0)</f>
        <v>0</v>
      </c>
      <c r="D259" s="84">
        <f>IF(OR(ISBLANK('Personnel Yr 2'!Q57),'Personnel Yr 2'!Q57=""),0,ROUND(('Personnel Yr 2'!Q57),0))</f>
        <v>0</v>
      </c>
      <c r="E259" s="84">
        <f>IF(OR(ISBLANK('Personnel Yr 3'!Q57),'Personnel Yr 3'!Q57=""),0,ROUND(('Personnel Yr 3'!Q57),0))</f>
        <v>0</v>
      </c>
      <c r="F259" s="84">
        <f>IF(OR(ISBLANK('Personnel Yr 4'!Q57),'Personnel Yr 4'!Q57=""),0,ROUND(('Personnel Yr 4'!Q57),0))</f>
        <v>0</v>
      </c>
      <c r="G259" s="84">
        <f>IF(OR(ISBLANK('Personnel Yr 5'!Q57),'Personnel Yr 5'!Q57=""),0,ROUND(('Personnel Yr 5'!Q57),0))</f>
        <v>0</v>
      </c>
      <c r="H259" s="84">
        <f>SUM(C259:G259)</f>
        <v>0</v>
      </c>
    </row>
    <row r="260" spans="1:8" hidden="1" x14ac:dyDescent="0.2">
      <c r="A260" s="222" t="s">
        <v>131</v>
      </c>
      <c r="B260" s="241"/>
      <c r="C260" s="84">
        <f>ROUND(('Personnel Yr 1'!Q57),0)</f>
        <v>0</v>
      </c>
      <c r="D260" s="84">
        <f>IF(OR(ISBLANK('Personnel Yr 2'!P57),'Personnel Yr 2'!P57=""),0,ROUND(('Personnel Yr 2'!P57),0))</f>
        <v>0</v>
      </c>
      <c r="E260" s="84">
        <f>IF(OR(ISBLANK('Personnel Yr 3'!P57),'Personnel Yr 3'!P57=""),0,ROUND(('Personnel Yr 3'!P57),0))</f>
        <v>0</v>
      </c>
      <c r="F260" s="84">
        <f>IF(OR(ISBLANK('Personnel Yr 4'!P57),'Personnel Yr 4'!P57=""),0,ROUND(('Personnel Yr 4'!P57),0))</f>
        <v>0</v>
      </c>
      <c r="G260" s="84">
        <f>IF(OR(ISBLANK('Personnel Yr 5'!P57),'Personnel Yr 5'!P57=""),0,ROUND(('Personnel Yr 5'!P57),0))</f>
        <v>0</v>
      </c>
      <c r="H260" s="84">
        <f>SUM(C260:G260)</f>
        <v>0</v>
      </c>
    </row>
    <row r="261" spans="1:8" hidden="1" x14ac:dyDescent="0.2">
      <c r="A261" s="775" t="str">
        <f>CONCATENATE('Personnel Yr 1'!B58, IF(OR(ISBLANK('Personnel Yr 1'!B58),'Personnel Yr 1'!B58=""),""," "),'Personnel Yr 1'!C58, " ",'Personnel Yr 1'!D58,IF(OR(ISBLANK('Personnel Yr 1'!D58),'Personnel Yr 1'!D58=""),""," "),'Personnel Yr 1'!E58," ",'Personnel Yr 1'!F58)</f>
        <v xml:space="preserve">  </v>
      </c>
      <c r="B261" s="776"/>
      <c r="C261" s="85"/>
      <c r="D261" s="86"/>
      <c r="E261" s="86"/>
      <c r="F261" s="86"/>
      <c r="G261" s="86"/>
      <c r="H261" s="87"/>
    </row>
    <row r="262" spans="1:8" hidden="1" x14ac:dyDescent="0.2">
      <c r="A262" s="222" t="s">
        <v>69</v>
      </c>
      <c r="B262" s="243">
        <f>(C262/17)*C371</f>
        <v>0</v>
      </c>
      <c r="C262" s="84">
        <f>ROUND(('Personnel Yr 1'!S58),0)</f>
        <v>0</v>
      </c>
      <c r="D262" s="84">
        <f>IF(OR(ISBLANK('Personnel Yr 2'!R58),'Personnel Yr 2'!R58=""),0,ROUND(('Personnel Yr 2'!R58),0))</f>
        <v>0</v>
      </c>
      <c r="E262" s="84">
        <f>IF(OR(ISBLANK('Personnel Yr 3'!R58),'Personnel Yr 3'!R58=""),0,ROUND(('Personnel Yr 3'!R58),0))</f>
        <v>0</v>
      </c>
      <c r="F262" s="84">
        <f>IF(OR(ISBLANK('Personnel Yr 4'!R58),'Personnel Yr 4'!R58=""),0,ROUND(('Personnel Yr 4'!R58),0))</f>
        <v>0</v>
      </c>
      <c r="G262" s="84">
        <f>IF(OR(ISBLANK('Personnel Yr 5'!R58),'Personnel Yr 5'!R58=""),0,ROUND(('Personnel Yr 5'!R58),0))</f>
        <v>0</v>
      </c>
      <c r="H262" s="84">
        <f t="shared" ref="H262:H268" si="14">SUM(C262:G262)</f>
        <v>0</v>
      </c>
    </row>
    <row r="263" spans="1:8" hidden="1" x14ac:dyDescent="0.2">
      <c r="A263" s="222" t="s">
        <v>130</v>
      </c>
      <c r="B263" s="243">
        <f>(C263/17)*C374</f>
        <v>0</v>
      </c>
      <c r="C263" s="84">
        <f>ROUND(('Personnel Yr 1'!R58),0)</f>
        <v>0</v>
      </c>
      <c r="D263" s="84">
        <f>IF(OR(ISBLANK('Personnel Yr 2'!Q58),'Personnel Yr 2'!Q58=""),0,ROUND(('Personnel Yr 2'!Q58),0))</f>
        <v>0</v>
      </c>
      <c r="E263" s="84">
        <f>IF(OR(ISBLANK('Personnel Yr 3'!Q58),'Personnel Yr 3'!Q58=""),0,ROUND(('Personnel Yr 3'!Q58),0))</f>
        <v>0</v>
      </c>
      <c r="F263" s="84">
        <f>IF(OR(ISBLANK('Personnel Yr 4'!Q58),'Personnel Yr 4'!Q58=""),0,ROUND(('Personnel Yr 4'!Q58),0))</f>
        <v>0</v>
      </c>
      <c r="G263" s="84">
        <f>IF(OR(ISBLANK('Personnel Yr 5'!Q58),'Personnel Yr 5'!Q58=""),0,ROUND(('Personnel Yr 5'!Q58),0))</f>
        <v>0</v>
      </c>
      <c r="H263" s="84">
        <f t="shared" si="14"/>
        <v>0</v>
      </c>
    </row>
    <row r="264" spans="1:8" ht="13.5" hidden="1" thickBot="1" x14ac:dyDescent="0.25">
      <c r="A264" s="223" t="s">
        <v>131</v>
      </c>
      <c r="B264" s="244"/>
      <c r="C264" s="122">
        <f>ROUND(('Personnel Yr 1'!Q58),0)</f>
        <v>0</v>
      </c>
      <c r="D264" s="122">
        <f>IF(OR(ISBLANK('Personnel Yr 2'!P58),'Personnel Yr 2'!P58=""),0,ROUND(('Personnel Yr 2'!P58),0))</f>
        <v>0</v>
      </c>
      <c r="E264" s="122">
        <f>IF(OR(ISBLANK('Personnel Yr 3'!P58),'Personnel Yr 3'!P58=""),0,ROUND(('Personnel Yr 3'!P58),0))</f>
        <v>0</v>
      </c>
      <c r="F264" s="122">
        <f>IF(OR(ISBLANK('Personnel Yr 4'!P58),'Personnel Yr 4'!P58=""),0,ROUND(('Personnel Yr 4'!P58),0))</f>
        <v>0</v>
      </c>
      <c r="G264" s="122">
        <f>IF(OR(ISBLANK('Personnel Yr 5'!P58),'Personnel Yr 5'!P58=""),0,ROUND(('Personnel Yr 5'!P58),0))</f>
        <v>0</v>
      </c>
      <c r="H264" s="122">
        <f t="shared" si="14"/>
        <v>0</v>
      </c>
    </row>
    <row r="265" spans="1:8" ht="13.5" hidden="1" customHeight="1" x14ac:dyDescent="0.2">
      <c r="A265" s="782" t="s">
        <v>246</v>
      </c>
      <c r="B265" s="783"/>
      <c r="C265" s="121">
        <f t="shared" ref="C265:G266" si="15">SUM(C262,C258,C254,C250,C246,C242,C238,C234,C230,C226,C222,C218,C214,C210,C206)</f>
        <v>0</v>
      </c>
      <c r="D265" s="121">
        <f t="shared" si="15"/>
        <v>0</v>
      </c>
      <c r="E265" s="121">
        <f t="shared" si="15"/>
        <v>0</v>
      </c>
      <c r="F265" s="121">
        <f t="shared" si="15"/>
        <v>0</v>
      </c>
      <c r="G265" s="121">
        <f t="shared" si="15"/>
        <v>0</v>
      </c>
      <c r="H265" s="129">
        <f t="shared" si="14"/>
        <v>0</v>
      </c>
    </row>
    <row r="266" spans="1:8" ht="13.5" hidden="1" customHeight="1" x14ac:dyDescent="0.2">
      <c r="A266" s="771" t="s">
        <v>247</v>
      </c>
      <c r="B266" s="772"/>
      <c r="C266" s="90">
        <f t="shared" si="15"/>
        <v>0</v>
      </c>
      <c r="D266" s="90">
        <f t="shared" si="15"/>
        <v>0</v>
      </c>
      <c r="E266" s="90">
        <f t="shared" si="15"/>
        <v>0</v>
      </c>
      <c r="F266" s="90">
        <f t="shared" si="15"/>
        <v>0</v>
      </c>
      <c r="G266" s="90">
        <f t="shared" si="15"/>
        <v>0</v>
      </c>
      <c r="H266" s="91">
        <f t="shared" si="14"/>
        <v>0</v>
      </c>
    </row>
    <row r="267" spans="1:8" ht="13.5" hidden="1" customHeight="1" x14ac:dyDescent="0.2">
      <c r="A267" s="771" t="s">
        <v>248</v>
      </c>
      <c r="B267" s="772"/>
      <c r="C267" s="90">
        <f>SUM(C236,C240,C244,C248,C252,C256,C260,C264,C232,C228,C224,C220,C216,C212,C208)</f>
        <v>0</v>
      </c>
      <c r="D267" s="90">
        <f>SUM(D236,D240,D244,D248,D252,D256,D260,D264,D232,D228,D224,D220,D216,D212,D208)</f>
        <v>0</v>
      </c>
      <c r="E267" s="90">
        <f>SUM(E236,E240,E244,E248,E252,E256,E260,E264,E232,E228,E224,E220,E216,E212,E208)</f>
        <v>0</v>
      </c>
      <c r="F267" s="90">
        <f>SUM(F236,F240,F244,F248,F252,F256,F260,F264,F232,F228,F224,F220,F216,F212,F208)</f>
        <v>0</v>
      </c>
      <c r="G267" s="90">
        <f>SUM(G236,G240,G244,G248,G252,G256,G260,G264,G232,G228,G224,G220,G216,G212,G208)</f>
        <v>0</v>
      </c>
      <c r="H267" s="91">
        <f t="shared" si="14"/>
        <v>0</v>
      </c>
    </row>
    <row r="268" spans="1:8" ht="13.5" hidden="1" customHeight="1" x14ac:dyDescent="0.2">
      <c r="A268" s="773" t="s">
        <v>249</v>
      </c>
      <c r="B268" s="774"/>
      <c r="C268" s="92">
        <f>SUM(C265,C266,C267)</f>
        <v>0</v>
      </c>
      <c r="D268" s="92">
        <f>SUM(D265,D266,D267)</f>
        <v>0</v>
      </c>
      <c r="E268" s="92">
        <f>SUM(E265,E266,E267)</f>
        <v>0</v>
      </c>
      <c r="F268" s="92">
        <f>SUM(F265,F266,F267)</f>
        <v>0</v>
      </c>
      <c r="G268" s="92">
        <f>SUM(G265,G266,G267)</f>
        <v>0</v>
      </c>
      <c r="H268" s="92">
        <f t="shared" si="14"/>
        <v>0</v>
      </c>
    </row>
    <row r="269" spans="1:8" hidden="1" x14ac:dyDescent="0.2">
      <c r="A269" s="186"/>
      <c r="B269" s="186"/>
      <c r="C269" s="114"/>
      <c r="D269" s="114"/>
      <c r="E269" s="114"/>
      <c r="F269" s="114"/>
      <c r="G269" s="114"/>
      <c r="H269" s="114"/>
    </row>
    <row r="270" spans="1:8" ht="15" hidden="1" x14ac:dyDescent="0.25">
      <c r="A270" s="779" t="s">
        <v>244</v>
      </c>
      <c r="B270" s="779"/>
      <c r="C270" s="95"/>
      <c r="D270" s="95"/>
      <c r="E270" s="95"/>
      <c r="F270" s="95"/>
      <c r="G270" s="95"/>
      <c r="H270" s="95"/>
    </row>
    <row r="271" spans="1:8" hidden="1" x14ac:dyDescent="0.2">
      <c r="A271" s="780" t="str">
        <f>CONCATENATE('Personnel Yr 1'!B44, IF(OR(ISBLANK('Personnel Yr 1'!B44),'Personnel Yr 1'!B44=""),""," "),'Personnel Yr 1'!C44, " ",'Personnel Yr 1'!D44,IF(OR(ISBLANK('Personnel Yr 1'!D44),'Personnel Yr 1'!D44=""),""," "),'Personnel Yr 1'!E44," ",'Personnel Yr 1'!F44)</f>
        <v xml:space="preserve">  </v>
      </c>
      <c r="B271" s="780"/>
      <c r="C271" s="96" t="s">
        <v>35</v>
      </c>
      <c r="D271" s="96" t="s">
        <v>36</v>
      </c>
      <c r="E271" s="96" t="s">
        <v>37</v>
      </c>
      <c r="F271" s="96" t="s">
        <v>38</v>
      </c>
      <c r="G271" s="96" t="s">
        <v>39</v>
      </c>
      <c r="H271" s="83" t="s">
        <v>40</v>
      </c>
    </row>
    <row r="272" spans="1:8" hidden="1" x14ac:dyDescent="0.2">
      <c r="A272" s="97" t="str">
        <f>IF(ISBLANK('Personnel Yr 1'!G44),"",'Personnel Yr 1'!G44)</f>
        <v/>
      </c>
      <c r="B272" s="98" t="s">
        <v>139</v>
      </c>
      <c r="C272" s="99">
        <f>SUM('Personnel Yr 1'!K44)</f>
        <v>0</v>
      </c>
      <c r="D272" s="99">
        <f>SUM('Personnel Yr 2'!K44)</f>
        <v>0</v>
      </c>
      <c r="E272" s="99">
        <f>SUM('Personnel Yr 3'!K44)</f>
        <v>0</v>
      </c>
      <c r="F272" s="99">
        <f>SUM('Personnel Yr 4'!K44)</f>
        <v>0</v>
      </c>
      <c r="G272" s="99">
        <f>SUM('Personnel Yr 5'!K44)</f>
        <v>0</v>
      </c>
      <c r="H272" s="99">
        <f>SUM(C272:G272)</f>
        <v>0</v>
      </c>
    </row>
    <row r="273" spans="1:8" hidden="1" x14ac:dyDescent="0.2">
      <c r="A273" s="100"/>
      <c r="B273" s="143" t="s">
        <v>140</v>
      </c>
      <c r="C273" s="144">
        <f>C272/3.5</f>
        <v>0</v>
      </c>
      <c r="D273" s="144">
        <f>D272/3.5</f>
        <v>0</v>
      </c>
      <c r="E273" s="144">
        <f>E272/3.5</f>
        <v>0</v>
      </c>
      <c r="F273" s="144">
        <f>F272/3.5</f>
        <v>0</v>
      </c>
      <c r="G273" s="144">
        <f>G272/3.5</f>
        <v>0</v>
      </c>
      <c r="H273" s="145"/>
    </row>
    <row r="274" spans="1:8" hidden="1" x14ac:dyDescent="0.2">
      <c r="A274" s="101"/>
      <c r="B274" s="102" t="s">
        <v>141</v>
      </c>
      <c r="C274" s="99">
        <f>SUM('Personnel Yr 1'!J44)</f>
        <v>0</v>
      </c>
      <c r="D274" s="99">
        <f>SUM('Personnel Yr 2'!J44)</f>
        <v>0</v>
      </c>
      <c r="E274" s="99">
        <f>SUM('Personnel Yr 3'!J44)</f>
        <v>0</v>
      </c>
      <c r="F274" s="99">
        <f>SUM('Personnel Yr 4'!J44)</f>
        <v>0</v>
      </c>
      <c r="G274" s="99">
        <f>SUM('Personnel Yr 5'!J44)</f>
        <v>0</v>
      </c>
      <c r="H274" s="99">
        <f>SUM(C274:G274)</f>
        <v>0</v>
      </c>
    </row>
    <row r="275" spans="1:8" hidden="1" x14ac:dyDescent="0.2">
      <c r="A275" s="101"/>
      <c r="B275" s="146" t="s">
        <v>142</v>
      </c>
      <c r="C275" s="147">
        <f>C274/8.5</f>
        <v>0</v>
      </c>
      <c r="D275" s="147">
        <f>D274/8.5</f>
        <v>0</v>
      </c>
      <c r="E275" s="147">
        <f>E274/8.5</f>
        <v>0</v>
      </c>
      <c r="F275" s="147">
        <f>F274/8.5</f>
        <v>0</v>
      </c>
      <c r="G275" s="147">
        <f>G274/8.5</f>
        <v>0</v>
      </c>
      <c r="H275" s="148"/>
    </row>
    <row r="276" spans="1:8" hidden="1" x14ac:dyDescent="0.2">
      <c r="A276" s="101"/>
      <c r="B276" s="104" t="s">
        <v>143</v>
      </c>
      <c r="C276" s="99">
        <f>SUM('Personnel Yr 1'!I44)</f>
        <v>0</v>
      </c>
      <c r="D276" s="99">
        <f>SUM('Personnel Yr 2'!I44)</f>
        <v>0</v>
      </c>
      <c r="E276" s="99">
        <f>SUM('Personnel Yr 3'!I44)</f>
        <v>0</v>
      </c>
      <c r="F276" s="99">
        <f>SUM('Personnel Yr 4'!I44)</f>
        <v>0</v>
      </c>
      <c r="G276" s="99">
        <f>SUM('Personnel Yr 5'!I44)</f>
        <v>0</v>
      </c>
      <c r="H276" s="99">
        <f>SUM(C276:G276)</f>
        <v>0</v>
      </c>
    </row>
    <row r="277" spans="1:8" hidden="1" x14ac:dyDescent="0.2">
      <c r="A277" s="101"/>
      <c r="B277" s="146" t="s">
        <v>144</v>
      </c>
      <c r="C277" s="147">
        <f>C276/12</f>
        <v>0</v>
      </c>
      <c r="D277" s="147">
        <f>D276/12</f>
        <v>0</v>
      </c>
      <c r="E277" s="147">
        <f>E276/12</f>
        <v>0</v>
      </c>
      <c r="F277" s="147">
        <f>F276/12</f>
        <v>0</v>
      </c>
      <c r="G277" s="147">
        <f>G276/12</f>
        <v>0</v>
      </c>
      <c r="H277" s="149"/>
    </row>
    <row r="278" spans="1:8" hidden="1" x14ac:dyDescent="0.2">
      <c r="A278" s="777" t="str">
        <f>CONCATENATE('Personnel Yr 1'!B45, IF(OR(ISBLANK('Personnel Yr 1'!B45),'Personnel Yr 1'!B45=""),""," "),'Personnel Yr 1'!C45, " ",'Personnel Yr 1'!D45,IF(OR(ISBLANK('Personnel Yr 1'!D45),'Personnel Yr 1'!D45=""),""," "),'Personnel Yr 1'!E45," ",'Personnel Yr 1'!F45)</f>
        <v xml:space="preserve">  </v>
      </c>
      <c r="B278" s="778"/>
      <c r="C278" s="105"/>
      <c r="D278" s="105"/>
      <c r="E278" s="105"/>
      <c r="F278" s="105"/>
      <c r="G278" s="105"/>
      <c r="H278" s="103"/>
    </row>
    <row r="279" spans="1:8" hidden="1" x14ac:dyDescent="0.2">
      <c r="A279" s="97" t="str">
        <f>IF(ISBLANK('Personnel Yr 1'!G45),"",'Personnel Yr 1'!G45)</f>
        <v/>
      </c>
      <c r="B279" s="98" t="s">
        <v>139</v>
      </c>
      <c r="C279" s="99">
        <f>SUM('Personnel Yr 1'!K45)</f>
        <v>0</v>
      </c>
      <c r="D279" s="99">
        <f>SUM('Personnel Yr 2'!K45)</f>
        <v>0</v>
      </c>
      <c r="E279" s="99">
        <f>SUM('Personnel Yr 3'!K45)</f>
        <v>0</v>
      </c>
      <c r="F279" s="99">
        <f>SUM('Personnel Yr 4'!K45)</f>
        <v>0</v>
      </c>
      <c r="G279" s="99">
        <f>SUM('Personnel Yr 5'!K45)</f>
        <v>0</v>
      </c>
      <c r="H279" s="99">
        <f>SUM(C279:G279)</f>
        <v>0</v>
      </c>
    </row>
    <row r="280" spans="1:8" hidden="1" x14ac:dyDescent="0.2">
      <c r="A280" s="100"/>
      <c r="B280" s="150" t="s">
        <v>140</v>
      </c>
      <c r="C280" s="144">
        <f>C279/3.5</f>
        <v>0</v>
      </c>
      <c r="D280" s="144">
        <f>D279/3.5</f>
        <v>0</v>
      </c>
      <c r="E280" s="144">
        <f>E279/3.5</f>
        <v>0</v>
      </c>
      <c r="F280" s="144">
        <f>F279/3.5</f>
        <v>0</v>
      </c>
      <c r="G280" s="144">
        <f>G279/3.5</f>
        <v>0</v>
      </c>
      <c r="H280" s="148"/>
    </row>
    <row r="281" spans="1:8" hidden="1" x14ac:dyDescent="0.2">
      <c r="A281" s="101"/>
      <c r="B281" s="102" t="s">
        <v>141</v>
      </c>
      <c r="C281" s="99">
        <f>SUM('Personnel Yr 1'!J45)</f>
        <v>0</v>
      </c>
      <c r="D281" s="99">
        <f>SUM('Personnel Yr 2'!J45)</f>
        <v>0</v>
      </c>
      <c r="E281" s="99">
        <f>SUM('Personnel Yr 3'!J45)</f>
        <v>0</v>
      </c>
      <c r="F281" s="99">
        <f>SUM('Personnel Yr 4'!J45)</f>
        <v>0</v>
      </c>
      <c r="G281" s="99">
        <f>SUM('Personnel Yr 5'!J45)</f>
        <v>0</v>
      </c>
      <c r="H281" s="99">
        <f>SUM(C281:G281)</f>
        <v>0</v>
      </c>
    </row>
    <row r="282" spans="1:8" hidden="1" x14ac:dyDescent="0.2">
      <c r="A282" s="101"/>
      <c r="B282" s="146" t="s">
        <v>142</v>
      </c>
      <c r="C282" s="147">
        <f>C281/8.5</f>
        <v>0</v>
      </c>
      <c r="D282" s="147">
        <f>D281/8.5</f>
        <v>0</v>
      </c>
      <c r="E282" s="147">
        <f>E281/8.5</f>
        <v>0</v>
      </c>
      <c r="F282" s="147">
        <f>F281/8.5</f>
        <v>0</v>
      </c>
      <c r="G282" s="147">
        <f>G281/8.5</f>
        <v>0</v>
      </c>
      <c r="H282" s="148"/>
    </row>
    <row r="283" spans="1:8" hidden="1" x14ac:dyDescent="0.2">
      <c r="A283" s="106"/>
      <c r="B283" s="104" t="s">
        <v>143</v>
      </c>
      <c r="C283" s="99">
        <f>SUM('Personnel Yr 1'!I45)</f>
        <v>0</v>
      </c>
      <c r="D283" s="99">
        <f>SUM('Personnel Yr 2'!I45)</f>
        <v>0</v>
      </c>
      <c r="E283" s="99">
        <f>SUM('Personnel Yr 3'!I45)</f>
        <v>0</v>
      </c>
      <c r="F283" s="99">
        <f>SUM('Personnel Yr 4'!I45)</f>
        <v>0</v>
      </c>
      <c r="G283" s="99">
        <f>SUM('Personnel Yr 5'!I45)</f>
        <v>0</v>
      </c>
      <c r="H283" s="99">
        <f>SUM(C283:G283)</f>
        <v>0</v>
      </c>
    </row>
    <row r="284" spans="1:8" hidden="1" x14ac:dyDescent="0.2">
      <c r="A284" s="101"/>
      <c r="B284" s="146" t="s">
        <v>144</v>
      </c>
      <c r="C284" s="147">
        <f>C283/12</f>
        <v>0</v>
      </c>
      <c r="D284" s="147">
        <f>D283/12</f>
        <v>0</v>
      </c>
      <c r="E284" s="147">
        <f>E283/12</f>
        <v>0</v>
      </c>
      <c r="F284" s="147">
        <f>F283/12</f>
        <v>0</v>
      </c>
      <c r="G284" s="147">
        <f>G283/12</f>
        <v>0</v>
      </c>
      <c r="H284" s="149"/>
    </row>
    <row r="285" spans="1:8" hidden="1" x14ac:dyDescent="0.2">
      <c r="A285" s="777" t="str">
        <f>CONCATENATE('Personnel Yr 1'!B46, IF(OR(ISBLANK('Personnel Yr 1'!B46),'Personnel Yr 1'!B46=""),""," "),'Personnel Yr 1'!C46, " ",'Personnel Yr 1'!D46,IF(OR(ISBLANK('Personnel Yr 1'!D46),'Personnel Yr 1'!D46=""),""," "),'Personnel Yr 1'!E46," ",'Personnel Yr 1'!F46)</f>
        <v xml:space="preserve">  </v>
      </c>
      <c r="B285" s="778"/>
      <c r="C285" s="105"/>
      <c r="D285" s="105"/>
      <c r="E285" s="105"/>
      <c r="F285" s="105"/>
      <c r="G285" s="105"/>
      <c r="H285" s="103"/>
    </row>
    <row r="286" spans="1:8" hidden="1" x14ac:dyDescent="0.2">
      <c r="A286" s="100" t="str">
        <f>IF(ISBLANK('Personnel Yr 1'!G46),"",'Personnel Yr 1'!G46)</f>
        <v/>
      </c>
      <c r="B286" s="98" t="s">
        <v>139</v>
      </c>
      <c r="C286" s="99">
        <f>SUM('Personnel Yr 1'!K46)</f>
        <v>0</v>
      </c>
      <c r="D286" s="99">
        <f>SUM('Personnel Yr 2'!K46)</f>
        <v>0</v>
      </c>
      <c r="E286" s="99">
        <f>SUM('Personnel Yr 3'!K46)</f>
        <v>0</v>
      </c>
      <c r="F286" s="99">
        <f>SUM('Personnel Yr 4'!K46)</f>
        <v>0</v>
      </c>
      <c r="G286" s="99">
        <f>SUM('Personnel Yr 5'!K46)</f>
        <v>0</v>
      </c>
      <c r="H286" s="99">
        <f>SUM(C286:G286)</f>
        <v>0</v>
      </c>
    </row>
    <row r="287" spans="1:8" hidden="1" x14ac:dyDescent="0.2">
      <c r="A287" s="100"/>
      <c r="B287" s="150" t="s">
        <v>140</v>
      </c>
      <c r="C287" s="144">
        <f>C286/3.5</f>
        <v>0</v>
      </c>
      <c r="D287" s="144">
        <f>D286/3.5</f>
        <v>0</v>
      </c>
      <c r="E287" s="144">
        <f>E286/3.5</f>
        <v>0</v>
      </c>
      <c r="F287" s="144">
        <f>F286/3.5</f>
        <v>0</v>
      </c>
      <c r="G287" s="144">
        <f>G286/3.5</f>
        <v>0</v>
      </c>
      <c r="H287" s="148"/>
    </row>
    <row r="288" spans="1:8" hidden="1" x14ac:dyDescent="0.2">
      <c r="A288" s="101"/>
      <c r="B288" s="102" t="s">
        <v>141</v>
      </c>
      <c r="C288" s="99">
        <f>SUM('Personnel Yr 1'!J46)</f>
        <v>0</v>
      </c>
      <c r="D288" s="99">
        <f>SUM('Personnel Yr 2'!J46)</f>
        <v>0</v>
      </c>
      <c r="E288" s="99">
        <f>SUM('Personnel Yr 3'!J46)</f>
        <v>0</v>
      </c>
      <c r="F288" s="99">
        <f>SUM('Personnel Yr 4'!J46)</f>
        <v>0</v>
      </c>
      <c r="G288" s="99">
        <f>SUM('Personnel Yr 5'!J46)</f>
        <v>0</v>
      </c>
      <c r="H288" s="99">
        <f>SUM(C288:G288)</f>
        <v>0</v>
      </c>
    </row>
    <row r="289" spans="1:8" hidden="1" x14ac:dyDescent="0.2">
      <c r="A289" s="101"/>
      <c r="B289" s="146" t="s">
        <v>142</v>
      </c>
      <c r="C289" s="147">
        <f>C288/8.5</f>
        <v>0</v>
      </c>
      <c r="D289" s="147">
        <f>D288/8.5</f>
        <v>0</v>
      </c>
      <c r="E289" s="147">
        <f>E288/8.5</f>
        <v>0</v>
      </c>
      <c r="F289" s="147">
        <f>F288/8.5</f>
        <v>0</v>
      </c>
      <c r="G289" s="147">
        <f>G288/8.5</f>
        <v>0</v>
      </c>
      <c r="H289" s="148"/>
    </row>
    <row r="290" spans="1:8" hidden="1" x14ac:dyDescent="0.2">
      <c r="A290" s="106"/>
      <c r="B290" s="104" t="s">
        <v>143</v>
      </c>
      <c r="C290" s="99">
        <f>SUM('Personnel Yr 1'!I46)</f>
        <v>0</v>
      </c>
      <c r="D290" s="99">
        <f>SUM('Personnel Yr 2'!I46)</f>
        <v>0</v>
      </c>
      <c r="E290" s="99">
        <f>SUM('Personnel Yr 3'!I46)</f>
        <v>0</v>
      </c>
      <c r="F290" s="99">
        <f>SUM('Personnel Yr 4'!I46)</f>
        <v>0</v>
      </c>
      <c r="G290" s="99">
        <f>SUM('Personnel Yr 5'!I46)</f>
        <v>0</v>
      </c>
      <c r="H290" s="99">
        <f>SUM(C290:G290)</f>
        <v>0</v>
      </c>
    </row>
    <row r="291" spans="1:8" hidden="1" x14ac:dyDescent="0.2">
      <c r="A291" s="101"/>
      <c r="B291" s="146" t="s">
        <v>144</v>
      </c>
      <c r="C291" s="147">
        <f>C290/12</f>
        <v>0</v>
      </c>
      <c r="D291" s="147">
        <f>D290/12</f>
        <v>0</v>
      </c>
      <c r="E291" s="147">
        <f>E290/12</f>
        <v>0</v>
      </c>
      <c r="F291" s="147">
        <f>F290/12</f>
        <v>0</v>
      </c>
      <c r="G291" s="147">
        <f>G290/12</f>
        <v>0</v>
      </c>
      <c r="H291" s="149"/>
    </row>
    <row r="292" spans="1:8" hidden="1" x14ac:dyDescent="0.2">
      <c r="A292" s="777" t="str">
        <f>CONCATENATE('Personnel Yr 1'!B47, IF(OR(ISBLANK('Personnel Yr 1'!B47),'Personnel Yr 1'!B47=""),""," "),'Personnel Yr 1'!C47, " ",'Personnel Yr 1'!D47,IF(OR(ISBLANK('Personnel Yr 1'!D47),'Personnel Yr 1'!D47=""),""," "),'Personnel Yr 1'!E47," ",'Personnel Yr 1'!F47)</f>
        <v xml:space="preserve">  </v>
      </c>
      <c r="B292" s="778"/>
      <c r="C292" s="105"/>
      <c r="D292" s="105"/>
      <c r="E292" s="105"/>
      <c r="F292" s="105"/>
      <c r="G292" s="105"/>
      <c r="H292" s="103"/>
    </row>
    <row r="293" spans="1:8" hidden="1" x14ac:dyDescent="0.2">
      <c r="A293" s="100" t="str">
        <f>IF(ISBLANK('Personnel Yr 1'!G47),"",'Personnel Yr 1'!G47)</f>
        <v/>
      </c>
      <c r="B293" s="98" t="s">
        <v>139</v>
      </c>
      <c r="C293" s="99">
        <f>SUM('Personnel Yr 1'!K47)</f>
        <v>0</v>
      </c>
      <c r="D293" s="99">
        <f>SUM('Personnel Yr 2'!K47)</f>
        <v>0</v>
      </c>
      <c r="E293" s="99">
        <f>SUM('Personnel Yr 3'!K47)</f>
        <v>0</v>
      </c>
      <c r="F293" s="99">
        <f>SUM('Personnel Yr 4'!K47)</f>
        <v>0</v>
      </c>
      <c r="G293" s="99">
        <f>SUM('Personnel Yr 5'!K47)</f>
        <v>0</v>
      </c>
      <c r="H293" s="99">
        <f>SUM(C293:G293)</f>
        <v>0</v>
      </c>
    </row>
    <row r="294" spans="1:8" hidden="1" x14ac:dyDescent="0.2">
      <c r="A294" s="100"/>
      <c r="B294" s="150" t="s">
        <v>140</v>
      </c>
      <c r="C294" s="144">
        <f>C293/3.5</f>
        <v>0</v>
      </c>
      <c r="D294" s="144">
        <f>D293/3.5</f>
        <v>0</v>
      </c>
      <c r="E294" s="144">
        <f>E293/3.5</f>
        <v>0</v>
      </c>
      <c r="F294" s="144">
        <f>F293/3.5</f>
        <v>0</v>
      </c>
      <c r="G294" s="144">
        <f>G293/3.5</f>
        <v>0</v>
      </c>
      <c r="H294" s="148"/>
    </row>
    <row r="295" spans="1:8" hidden="1" x14ac:dyDescent="0.2">
      <c r="A295" s="101"/>
      <c r="B295" s="102" t="s">
        <v>141</v>
      </c>
      <c r="C295" s="99">
        <f>SUM('Personnel Yr 1'!J47)</f>
        <v>0</v>
      </c>
      <c r="D295" s="99">
        <f>SUM('Personnel Yr 2'!J47)</f>
        <v>0</v>
      </c>
      <c r="E295" s="99">
        <f>SUM('Personnel Yr 3'!J47)</f>
        <v>0</v>
      </c>
      <c r="F295" s="99">
        <f>SUM('Personnel Yr 4'!J47)</f>
        <v>0</v>
      </c>
      <c r="G295" s="99">
        <f>SUM('Personnel Yr 5'!J47)</f>
        <v>0</v>
      </c>
      <c r="H295" s="99">
        <f>SUM(C295:G295)</f>
        <v>0</v>
      </c>
    </row>
    <row r="296" spans="1:8" hidden="1" x14ac:dyDescent="0.2">
      <c r="A296" s="101"/>
      <c r="B296" s="146" t="s">
        <v>142</v>
      </c>
      <c r="C296" s="147">
        <f>C295/8.5</f>
        <v>0</v>
      </c>
      <c r="D296" s="147">
        <f>D295/8.5</f>
        <v>0</v>
      </c>
      <c r="E296" s="147">
        <f>E295/8.5</f>
        <v>0</v>
      </c>
      <c r="F296" s="147">
        <f>F295/8.5</f>
        <v>0</v>
      </c>
      <c r="G296" s="147">
        <f>G295/8.5</f>
        <v>0</v>
      </c>
      <c r="H296" s="148"/>
    </row>
    <row r="297" spans="1:8" hidden="1" x14ac:dyDescent="0.2">
      <c r="A297" s="106"/>
      <c r="B297" s="104" t="s">
        <v>143</v>
      </c>
      <c r="C297" s="99">
        <f>SUM('Personnel Yr 1'!I47)</f>
        <v>0</v>
      </c>
      <c r="D297" s="99">
        <f>SUM('Personnel Yr 2'!I47)</f>
        <v>0</v>
      </c>
      <c r="E297" s="99">
        <f>SUM('Personnel Yr 3'!I47)</f>
        <v>0</v>
      </c>
      <c r="F297" s="99">
        <f>SUM('Personnel Yr 4'!I47)</f>
        <v>0</v>
      </c>
      <c r="G297" s="99">
        <f>SUM('Personnel Yr 5'!I47)</f>
        <v>0</v>
      </c>
      <c r="H297" s="99">
        <f>SUM(C297:G297)</f>
        <v>0</v>
      </c>
    </row>
    <row r="298" spans="1:8" hidden="1" x14ac:dyDescent="0.2">
      <c r="A298" s="101"/>
      <c r="B298" s="146" t="s">
        <v>144</v>
      </c>
      <c r="C298" s="147">
        <f>C297/12</f>
        <v>0</v>
      </c>
      <c r="D298" s="147">
        <f>D297/12</f>
        <v>0</v>
      </c>
      <c r="E298" s="147">
        <f>E297/12</f>
        <v>0</v>
      </c>
      <c r="F298" s="147">
        <f>F297/12</f>
        <v>0</v>
      </c>
      <c r="G298" s="147">
        <f>G297/12</f>
        <v>0</v>
      </c>
      <c r="H298" s="149"/>
    </row>
    <row r="299" spans="1:8" hidden="1" x14ac:dyDescent="0.2">
      <c r="A299" s="777" t="str">
        <f>CONCATENATE('Personnel Yr 1'!B48, IF(OR(ISBLANK('Personnel Yr 1'!B48),'Personnel Yr 1'!B48=""),""," "),'Personnel Yr 1'!C48, " ",'Personnel Yr 1'!D48,IF(OR(ISBLANK('Personnel Yr 1'!D48),'Personnel Yr 1'!D48=""),""," "),'Personnel Yr 1'!E48," ",'Personnel Yr 1'!F48)</f>
        <v xml:space="preserve">  </v>
      </c>
      <c r="B299" s="778"/>
      <c r="C299" s="105"/>
      <c r="D299" s="105"/>
      <c r="E299" s="105"/>
      <c r="F299" s="105"/>
      <c r="G299" s="105"/>
      <c r="H299" s="103"/>
    </row>
    <row r="300" spans="1:8" hidden="1" x14ac:dyDescent="0.2">
      <c r="A300" s="100" t="str">
        <f>IF(ISBLANK('Personnel Yr 1'!G48),"",'Personnel Yr 1'!G48)</f>
        <v/>
      </c>
      <c r="B300" s="98" t="s">
        <v>139</v>
      </c>
      <c r="C300" s="99">
        <f>SUM('Personnel Yr 1'!K48)</f>
        <v>0</v>
      </c>
      <c r="D300" s="99">
        <f>SUM('Personnel Yr 2'!K48)</f>
        <v>0</v>
      </c>
      <c r="E300" s="99">
        <f>SUM('Personnel Yr 3'!K48)</f>
        <v>0</v>
      </c>
      <c r="F300" s="99">
        <f>SUM('Personnel Yr 4'!K48)</f>
        <v>0</v>
      </c>
      <c r="G300" s="99">
        <f>SUM('Personnel Yr 5'!K48)</f>
        <v>0</v>
      </c>
      <c r="H300" s="99">
        <f>SUM(C300:G300)</f>
        <v>0</v>
      </c>
    </row>
    <row r="301" spans="1:8" hidden="1" x14ac:dyDescent="0.2">
      <c r="A301" s="100"/>
      <c r="B301" s="150" t="s">
        <v>140</v>
      </c>
      <c r="C301" s="144">
        <f>C300/3.5</f>
        <v>0</v>
      </c>
      <c r="D301" s="144">
        <f>D300/3.5</f>
        <v>0</v>
      </c>
      <c r="E301" s="144">
        <f>E300/3.5</f>
        <v>0</v>
      </c>
      <c r="F301" s="144">
        <f>F300/3.5</f>
        <v>0</v>
      </c>
      <c r="G301" s="144">
        <f>G300/3.5</f>
        <v>0</v>
      </c>
      <c r="H301" s="148"/>
    </row>
    <row r="302" spans="1:8" hidden="1" x14ac:dyDescent="0.2">
      <c r="A302" s="101"/>
      <c r="B302" s="102" t="s">
        <v>141</v>
      </c>
      <c r="C302" s="99">
        <f>SUM('Personnel Yr 1'!J48)</f>
        <v>0</v>
      </c>
      <c r="D302" s="99">
        <f>SUM('Personnel Yr 2'!J48)</f>
        <v>0</v>
      </c>
      <c r="E302" s="99">
        <f>SUM('Personnel Yr 3'!J48)</f>
        <v>0</v>
      </c>
      <c r="F302" s="99">
        <f>SUM('Personnel Yr 4'!J48)</f>
        <v>0</v>
      </c>
      <c r="G302" s="99">
        <f>SUM('Personnel Yr 5'!J48)</f>
        <v>0</v>
      </c>
      <c r="H302" s="99">
        <f>SUM(C302:G302)</f>
        <v>0</v>
      </c>
    </row>
    <row r="303" spans="1:8" hidden="1" x14ac:dyDescent="0.2">
      <c r="A303" s="101"/>
      <c r="B303" s="146" t="s">
        <v>142</v>
      </c>
      <c r="C303" s="147">
        <f>C302/8.5</f>
        <v>0</v>
      </c>
      <c r="D303" s="147">
        <f>D302/8.5</f>
        <v>0</v>
      </c>
      <c r="E303" s="147">
        <f>E302/8.5</f>
        <v>0</v>
      </c>
      <c r="F303" s="147">
        <f>F302/8.5</f>
        <v>0</v>
      </c>
      <c r="G303" s="147">
        <f>G302/8.5</f>
        <v>0</v>
      </c>
      <c r="H303" s="148"/>
    </row>
    <row r="304" spans="1:8" hidden="1" x14ac:dyDescent="0.2">
      <c r="A304" s="106"/>
      <c r="B304" s="104" t="s">
        <v>143</v>
      </c>
      <c r="C304" s="99">
        <f>SUM('Personnel Yr 1'!I48)</f>
        <v>0</v>
      </c>
      <c r="D304" s="99">
        <f>SUM('Personnel Yr 2'!I48)</f>
        <v>0</v>
      </c>
      <c r="E304" s="99">
        <f>SUM('Personnel Yr 3'!I48)</f>
        <v>0</v>
      </c>
      <c r="F304" s="99">
        <f>SUM('Personnel Yr 4'!I48)</f>
        <v>0</v>
      </c>
      <c r="G304" s="99">
        <f>SUM('Personnel Yr 5'!I48)</f>
        <v>0</v>
      </c>
      <c r="H304" s="99">
        <f>SUM(C304:G304)</f>
        <v>0</v>
      </c>
    </row>
    <row r="305" spans="1:8" hidden="1" x14ac:dyDescent="0.2">
      <c r="A305" s="125"/>
      <c r="B305" s="146" t="s">
        <v>144</v>
      </c>
      <c r="C305" s="147">
        <f>C304/12</f>
        <v>0</v>
      </c>
      <c r="D305" s="147">
        <f>D304/12</f>
        <v>0</v>
      </c>
      <c r="E305" s="147">
        <f>E304/12</f>
        <v>0</v>
      </c>
      <c r="F305" s="147">
        <f>F304/12</f>
        <v>0</v>
      </c>
      <c r="G305" s="147">
        <f>G304/12</f>
        <v>0</v>
      </c>
      <c r="H305" s="149"/>
    </row>
    <row r="306" spans="1:8" hidden="1" x14ac:dyDescent="0.2">
      <c r="A306" s="777" t="str">
        <f>CONCATENATE('Personnel Yr 1'!B49, IF(OR(ISBLANK('Personnel Yr 1'!B49),'Personnel Yr 1'!B49=""),""," "),'Personnel Yr 1'!C49, " ",'Personnel Yr 1'!D49,IF(OR(ISBLANK('Personnel Yr 1'!D49),'Personnel Yr 1'!D49=""),""," "),'Personnel Yr 1'!E49," ",'Personnel Yr 1'!F49)</f>
        <v xml:space="preserve">  </v>
      </c>
      <c r="B306" s="778"/>
      <c r="C306" s="105"/>
      <c r="D306" s="105"/>
      <c r="E306" s="105"/>
      <c r="F306" s="105"/>
      <c r="G306" s="105"/>
      <c r="H306" s="103"/>
    </row>
    <row r="307" spans="1:8" hidden="1" x14ac:dyDescent="0.2">
      <c r="A307" s="97" t="str">
        <f>IF(ISBLANK('Personnel Yr 1'!G49),"",'Personnel Yr 1'!G49)</f>
        <v/>
      </c>
      <c r="B307" s="98" t="s">
        <v>139</v>
      </c>
      <c r="C307" s="99">
        <f>SUM('Personnel Yr 1'!K49)</f>
        <v>0</v>
      </c>
      <c r="D307" s="99">
        <f>SUM('Personnel Yr 2'!K49)</f>
        <v>0</v>
      </c>
      <c r="E307" s="99">
        <f>SUM('Personnel Yr 3'!K49)</f>
        <v>0</v>
      </c>
      <c r="F307" s="99">
        <f>SUM('Personnel Yr 4'!K49)</f>
        <v>0</v>
      </c>
      <c r="G307" s="99">
        <f>SUM('Personnel Yr 4'!K49)</f>
        <v>0</v>
      </c>
      <c r="H307" s="99">
        <f>SUM(C307:G307)</f>
        <v>0</v>
      </c>
    </row>
    <row r="308" spans="1:8" hidden="1" x14ac:dyDescent="0.2">
      <c r="A308" s="100"/>
      <c r="B308" s="150" t="s">
        <v>140</v>
      </c>
      <c r="C308" s="144">
        <f>C307/3.5</f>
        <v>0</v>
      </c>
      <c r="D308" s="144">
        <f>D307/3.5</f>
        <v>0</v>
      </c>
      <c r="E308" s="144">
        <f>E307/3.5</f>
        <v>0</v>
      </c>
      <c r="F308" s="144">
        <f>F307/3.5</f>
        <v>0</v>
      </c>
      <c r="G308" s="144">
        <f>G307/3.5</f>
        <v>0</v>
      </c>
      <c r="H308" s="148"/>
    </row>
    <row r="309" spans="1:8" hidden="1" x14ac:dyDescent="0.2">
      <c r="A309" s="101"/>
      <c r="B309" s="102" t="s">
        <v>141</v>
      </c>
      <c r="C309" s="99">
        <f>SUM('Personnel Yr 1'!J49)</f>
        <v>0</v>
      </c>
      <c r="D309" s="99">
        <f>SUM('Personnel Yr 2'!J49)</f>
        <v>0</v>
      </c>
      <c r="E309" s="99">
        <f>SUM('Personnel Yr 3'!J49)</f>
        <v>0</v>
      </c>
      <c r="F309" s="99">
        <f>SUM('Personnel Yr 4'!J49)</f>
        <v>0</v>
      </c>
      <c r="G309" s="99">
        <f>SUM('Personnel Yr 5'!J49)</f>
        <v>0</v>
      </c>
      <c r="H309" s="99">
        <f>SUM(C309:G309)</f>
        <v>0</v>
      </c>
    </row>
    <row r="310" spans="1:8" hidden="1" x14ac:dyDescent="0.2">
      <c r="A310" s="101"/>
      <c r="B310" s="146" t="s">
        <v>142</v>
      </c>
      <c r="C310" s="147">
        <f>C309/8.5</f>
        <v>0</v>
      </c>
      <c r="D310" s="147">
        <f>D309/8.5</f>
        <v>0</v>
      </c>
      <c r="E310" s="147">
        <f>E309/8.5</f>
        <v>0</v>
      </c>
      <c r="F310" s="147">
        <f>F309/8.5</f>
        <v>0</v>
      </c>
      <c r="G310" s="147">
        <f>G309/8.5</f>
        <v>0</v>
      </c>
      <c r="H310" s="148"/>
    </row>
    <row r="311" spans="1:8" hidden="1" x14ac:dyDescent="0.2">
      <c r="A311" s="106"/>
      <c r="B311" s="104" t="s">
        <v>143</v>
      </c>
      <c r="C311" s="99">
        <f>SUM('Personnel Yr 1'!I49)</f>
        <v>0</v>
      </c>
      <c r="D311" s="99">
        <f>SUM('Personnel Yr 2'!I49)</f>
        <v>0</v>
      </c>
      <c r="E311" s="99">
        <f>SUM('Personnel Yr 3'!I49)</f>
        <v>0</v>
      </c>
      <c r="F311" s="99">
        <f>SUM('Personnel Yr 4'!I49)</f>
        <v>0</v>
      </c>
      <c r="G311" s="99">
        <f>SUM('Personnel Yr 5'!I49)</f>
        <v>0</v>
      </c>
      <c r="H311" s="99">
        <f>SUM(C311:G311)</f>
        <v>0</v>
      </c>
    </row>
    <row r="312" spans="1:8" hidden="1" x14ac:dyDescent="0.2">
      <c r="A312" s="125"/>
      <c r="B312" s="146" t="s">
        <v>144</v>
      </c>
      <c r="C312" s="147">
        <f>C311/12</f>
        <v>0</v>
      </c>
      <c r="D312" s="147">
        <f>D311/12</f>
        <v>0</v>
      </c>
      <c r="E312" s="147">
        <f>E311/12</f>
        <v>0</v>
      </c>
      <c r="F312" s="147">
        <f>F311/12</f>
        <v>0</v>
      </c>
      <c r="G312" s="147">
        <f>G311/12</f>
        <v>0</v>
      </c>
      <c r="H312" s="151"/>
    </row>
    <row r="313" spans="1:8" hidden="1" x14ac:dyDescent="0.2">
      <c r="A313" s="777" t="str">
        <f>CONCATENATE('Personnel Yr 1'!B50, IF(OR(ISBLANK('Personnel Yr 1'!B50),'Personnel Yr 1'!B50=""),""," "),'Personnel Yr 1'!C50, " ",'Personnel Yr 1'!D50,IF(OR(ISBLANK('Personnel Yr 1'!D50),'Personnel Yr 1'!D50=""),""," "),'Personnel Yr 1'!E50," ",'Personnel Yr 1'!F50)</f>
        <v xml:space="preserve">  </v>
      </c>
      <c r="B313" s="778"/>
      <c r="C313" s="108"/>
      <c r="D313" s="108"/>
      <c r="E313" s="108"/>
      <c r="F313" s="108"/>
      <c r="G313" s="124"/>
      <c r="H313" s="123"/>
    </row>
    <row r="314" spans="1:8" hidden="1" x14ac:dyDescent="0.2">
      <c r="A314" s="97" t="str">
        <f>IF(ISBLANK('Personnel Yr 1'!G50),"",'Personnel Yr 1'!G50)</f>
        <v/>
      </c>
      <c r="B314" s="98" t="s">
        <v>139</v>
      </c>
      <c r="C314" s="99">
        <f>SUM('Personnel Yr 1'!K50)</f>
        <v>0</v>
      </c>
      <c r="D314" s="99">
        <f>SUM('Personnel Yr 2'!K50)</f>
        <v>0</v>
      </c>
      <c r="E314" s="99">
        <f>SUM('Personnel Yr 3'!K50)</f>
        <v>0</v>
      </c>
      <c r="F314" s="99">
        <f>SUM('Personnel Yr 4'!K50)</f>
        <v>0</v>
      </c>
      <c r="G314" s="99">
        <f>SUM('Personnel Yr 5'!K50)</f>
        <v>0</v>
      </c>
      <c r="H314" s="99">
        <f>SUM(C314:G314)</f>
        <v>0</v>
      </c>
    </row>
    <row r="315" spans="1:8" hidden="1" x14ac:dyDescent="0.2">
      <c r="A315" s="100"/>
      <c r="B315" s="150" t="s">
        <v>140</v>
      </c>
      <c r="C315" s="144">
        <f>C314/3.5</f>
        <v>0</v>
      </c>
      <c r="D315" s="144">
        <f>D314/3.5</f>
        <v>0</v>
      </c>
      <c r="E315" s="144">
        <f>E314/3.5</f>
        <v>0</v>
      </c>
      <c r="F315" s="144">
        <f>F314/3.5</f>
        <v>0</v>
      </c>
      <c r="G315" s="144">
        <f>G314/3.5</f>
        <v>0</v>
      </c>
      <c r="H315" s="148"/>
    </row>
    <row r="316" spans="1:8" hidden="1" x14ac:dyDescent="0.2">
      <c r="A316" s="101"/>
      <c r="B316" s="102" t="s">
        <v>141</v>
      </c>
      <c r="C316" s="99">
        <f>SUM('Personnel Yr 1'!J50)</f>
        <v>0</v>
      </c>
      <c r="D316" s="99">
        <f>SUM('Personnel Yr 2'!J50)</f>
        <v>0</v>
      </c>
      <c r="E316" s="99">
        <f>SUM('Personnel Yr 3'!J50)</f>
        <v>0</v>
      </c>
      <c r="F316" s="99">
        <f>SUM('Personnel Yr 4'!J50)</f>
        <v>0</v>
      </c>
      <c r="G316" s="99">
        <f>SUM('Personnel Yr 5'!J50)</f>
        <v>0</v>
      </c>
      <c r="H316" s="99">
        <f>SUM(C316:G316)</f>
        <v>0</v>
      </c>
    </row>
    <row r="317" spans="1:8" hidden="1" x14ac:dyDescent="0.2">
      <c r="A317" s="101"/>
      <c r="B317" s="146" t="s">
        <v>142</v>
      </c>
      <c r="C317" s="147">
        <f>C316/8.5</f>
        <v>0</v>
      </c>
      <c r="D317" s="147">
        <f>D316/8.5</f>
        <v>0</v>
      </c>
      <c r="E317" s="147">
        <f>E316/8.5</f>
        <v>0</v>
      </c>
      <c r="F317" s="147">
        <f>F316/8.5</f>
        <v>0</v>
      </c>
      <c r="G317" s="147">
        <f>G316/8.5</f>
        <v>0</v>
      </c>
      <c r="H317" s="148"/>
    </row>
    <row r="318" spans="1:8" hidden="1" x14ac:dyDescent="0.2">
      <c r="A318" s="101"/>
      <c r="B318" s="104" t="s">
        <v>143</v>
      </c>
      <c r="C318" s="99">
        <f>SUM('Personnel Yr 1'!I50)</f>
        <v>0</v>
      </c>
      <c r="D318" s="99">
        <f>SUM('Personnel Yr 2'!I50)</f>
        <v>0</v>
      </c>
      <c r="E318" s="99">
        <f>SUM('Personnel Yr 3'!I50)</f>
        <v>0</v>
      </c>
      <c r="F318" s="99">
        <f>SUM('Personnel Yr 4'!I50)</f>
        <v>0</v>
      </c>
      <c r="G318" s="99">
        <f>SUM('Personnel Yr 5'!I50)</f>
        <v>0</v>
      </c>
      <c r="H318" s="99">
        <f>SUM(C318:G318)</f>
        <v>0</v>
      </c>
    </row>
    <row r="319" spans="1:8" hidden="1" x14ac:dyDescent="0.2">
      <c r="A319" s="125"/>
      <c r="B319" s="146" t="s">
        <v>144</v>
      </c>
      <c r="C319" s="147">
        <f>C318/12</f>
        <v>0</v>
      </c>
      <c r="D319" s="147">
        <f>D318/12</f>
        <v>0</v>
      </c>
      <c r="E319" s="147">
        <f>E318/12</f>
        <v>0</v>
      </c>
      <c r="F319" s="147">
        <f>F318/12</f>
        <v>0</v>
      </c>
      <c r="G319" s="147">
        <f>G318/12</f>
        <v>0</v>
      </c>
      <c r="H319" s="149"/>
    </row>
    <row r="320" spans="1:8" hidden="1" x14ac:dyDescent="0.2">
      <c r="A320" s="777" t="str">
        <f>CONCATENATE('Personnel Yr 1'!B51, IF(OR(ISBLANK('Personnel Yr 1'!B51),'Personnel Yr 1'!B51=""),""," "),'Personnel Yr 1'!C51, " ",'Personnel Yr 1'!D51,IF(OR(ISBLANK('Personnel Yr 1'!D51),'Personnel Yr 1'!D51=""),""," "),'Personnel Yr 1'!E51," ",'Personnel Yr 1'!F51)</f>
        <v xml:space="preserve">  </v>
      </c>
      <c r="B320" s="778"/>
      <c r="C320" s="105"/>
      <c r="D320" s="105"/>
      <c r="E320" s="105"/>
      <c r="F320" s="105"/>
      <c r="G320" s="105"/>
      <c r="H320" s="103"/>
    </row>
    <row r="321" spans="1:8" hidden="1" x14ac:dyDescent="0.2">
      <c r="A321" s="97" t="str">
        <f>IF(ISBLANK('Personnel Yr 1'!G51),"",'Personnel Yr 1'!G51)</f>
        <v/>
      </c>
      <c r="B321" s="98" t="s">
        <v>139</v>
      </c>
      <c r="C321" s="99">
        <f>SUM('Personnel Yr 1'!K51)</f>
        <v>0</v>
      </c>
      <c r="D321" s="99">
        <f>SUM('Personnel Yr 2'!K51)</f>
        <v>0</v>
      </c>
      <c r="E321" s="99">
        <f>SUM('Personnel Yr 3'!K51)</f>
        <v>0</v>
      </c>
      <c r="F321" s="99">
        <f>SUM('Personnel Yr 4'!K51)</f>
        <v>0</v>
      </c>
      <c r="G321" s="99">
        <f>SUM('Personnel Yr 5'!K51)</f>
        <v>0</v>
      </c>
      <c r="H321" s="99">
        <f>SUM(C321:G321)</f>
        <v>0</v>
      </c>
    </row>
    <row r="322" spans="1:8" hidden="1" x14ac:dyDescent="0.2">
      <c r="A322" s="100"/>
      <c r="B322" s="150" t="s">
        <v>140</v>
      </c>
      <c r="C322" s="144">
        <f>C321/3.5</f>
        <v>0</v>
      </c>
      <c r="D322" s="144">
        <f>D321/3.5</f>
        <v>0</v>
      </c>
      <c r="E322" s="144">
        <f>E321/3.5</f>
        <v>0</v>
      </c>
      <c r="F322" s="144">
        <f>F321/3.5</f>
        <v>0</v>
      </c>
      <c r="G322" s="144">
        <f>G321/3.5</f>
        <v>0</v>
      </c>
      <c r="H322" s="148"/>
    </row>
    <row r="323" spans="1:8" hidden="1" x14ac:dyDescent="0.2">
      <c r="A323" s="101"/>
      <c r="B323" s="102" t="s">
        <v>141</v>
      </c>
      <c r="C323" s="99">
        <f>SUM('Personnel Yr 1'!J51)</f>
        <v>0</v>
      </c>
      <c r="D323" s="99">
        <f>SUM('Personnel Yr 2'!J51)</f>
        <v>0</v>
      </c>
      <c r="E323" s="99">
        <f>SUM('Personnel Yr 3'!J51)</f>
        <v>0</v>
      </c>
      <c r="F323" s="99">
        <f>SUM('Personnel Yr 4'!J51)</f>
        <v>0</v>
      </c>
      <c r="G323" s="99">
        <f>SUM('Personnel Yr 5'!J51)</f>
        <v>0</v>
      </c>
      <c r="H323" s="99">
        <f>SUM(C323:G323)</f>
        <v>0</v>
      </c>
    </row>
    <row r="324" spans="1:8" hidden="1" x14ac:dyDescent="0.2">
      <c r="A324" s="101"/>
      <c r="B324" s="146" t="s">
        <v>142</v>
      </c>
      <c r="C324" s="147">
        <f>C323/8.5</f>
        <v>0</v>
      </c>
      <c r="D324" s="147">
        <f>D323/8.5</f>
        <v>0</v>
      </c>
      <c r="E324" s="147">
        <f>E323/8.5</f>
        <v>0</v>
      </c>
      <c r="F324" s="147">
        <f>F323/8.5</f>
        <v>0</v>
      </c>
      <c r="G324" s="147">
        <f>G323/8.5</f>
        <v>0</v>
      </c>
      <c r="H324" s="148"/>
    </row>
    <row r="325" spans="1:8" hidden="1" x14ac:dyDescent="0.2">
      <c r="A325" s="101"/>
      <c r="B325" s="104" t="s">
        <v>143</v>
      </c>
      <c r="C325" s="99">
        <f>SUM('Personnel Yr 1'!I51)</f>
        <v>0</v>
      </c>
      <c r="D325" s="99">
        <f>SUM('Personnel Yr 2'!I51)</f>
        <v>0</v>
      </c>
      <c r="E325" s="99">
        <f>SUM('Personnel Yr 3'!I51)</f>
        <v>0</v>
      </c>
      <c r="F325" s="99">
        <f>SUM('Personnel Yr 4'!I51)</f>
        <v>0</v>
      </c>
      <c r="G325" s="99">
        <f>SUM('Personnel Yr 5'!I51)</f>
        <v>0</v>
      </c>
      <c r="H325" s="99">
        <f>SUM(C325:G325)</f>
        <v>0</v>
      </c>
    </row>
    <row r="326" spans="1:8" hidden="1" x14ac:dyDescent="0.2">
      <c r="A326" s="125"/>
      <c r="B326" s="146" t="s">
        <v>144</v>
      </c>
      <c r="C326" s="147">
        <f>C325/12</f>
        <v>0</v>
      </c>
      <c r="D326" s="147">
        <f>D325/12</f>
        <v>0</v>
      </c>
      <c r="E326" s="147">
        <f>E325/12</f>
        <v>0</v>
      </c>
      <c r="F326" s="147">
        <f>F325/12</f>
        <v>0</v>
      </c>
      <c r="G326" s="147">
        <f>G325/12</f>
        <v>0</v>
      </c>
      <c r="H326" s="149"/>
    </row>
    <row r="327" spans="1:8" ht="15" hidden="1" x14ac:dyDescent="0.25">
      <c r="A327" s="781" t="s">
        <v>250</v>
      </c>
      <c r="B327" s="781"/>
      <c r="C327" s="781"/>
      <c r="D327" s="95"/>
      <c r="E327" s="95"/>
      <c r="F327" s="95"/>
      <c r="G327" s="95"/>
      <c r="H327" s="95"/>
    </row>
    <row r="328" spans="1:8" hidden="1" x14ac:dyDescent="0.2">
      <c r="A328" s="780" t="str">
        <f>CONCATENATE('Personnel Yr 1'!B52, IF(OR(ISBLANK('Personnel Yr 1'!B52),'Personnel Yr 1'!B52=""),""," "),'Personnel Yr 1'!C52, " ",'Personnel Yr 1'!D52,IF(OR(ISBLANK('Personnel Yr 1'!D52),'Personnel Yr 1'!D52=""),""," "),'Personnel Yr 1'!E52," ",'Personnel Yr 1'!F52)</f>
        <v xml:space="preserve">  </v>
      </c>
      <c r="B328" s="780"/>
      <c r="C328" s="96" t="s">
        <v>35</v>
      </c>
      <c r="D328" s="96" t="s">
        <v>36</v>
      </c>
      <c r="E328" s="96" t="s">
        <v>37</v>
      </c>
      <c r="F328" s="96" t="s">
        <v>38</v>
      </c>
      <c r="G328" s="96" t="s">
        <v>39</v>
      </c>
      <c r="H328" s="96" t="s">
        <v>40</v>
      </c>
    </row>
    <row r="329" spans="1:8" hidden="1" x14ac:dyDescent="0.2">
      <c r="A329" s="97" t="str">
        <f>IF(ISBLANK('Personnel Yr 1'!G52),"",'Personnel Yr 1'!G52)</f>
        <v/>
      </c>
      <c r="B329" s="98" t="s">
        <v>139</v>
      </c>
      <c r="C329" s="99">
        <f>SUM('Personnel Yr 1'!K52)</f>
        <v>0</v>
      </c>
      <c r="D329" s="99">
        <f>SUM('Personnel Yr 2'!K52)</f>
        <v>0</v>
      </c>
      <c r="E329" s="99">
        <f>SUM('Personnel Yr 3'!K52)</f>
        <v>0</v>
      </c>
      <c r="F329" s="99">
        <f>SUM('Personnel Yr 4'!K52)</f>
        <v>0</v>
      </c>
      <c r="G329" s="99">
        <f>SUM('Personnel Yr 5'!K52)</f>
        <v>0</v>
      </c>
      <c r="H329" s="99">
        <f>SUM(C329:G329)</f>
        <v>0</v>
      </c>
    </row>
    <row r="330" spans="1:8" hidden="1" x14ac:dyDescent="0.2">
      <c r="A330" s="100"/>
      <c r="B330" s="150" t="s">
        <v>140</v>
      </c>
      <c r="C330" s="144">
        <f>C329/3.5</f>
        <v>0</v>
      </c>
      <c r="D330" s="144">
        <f>D329/3.5</f>
        <v>0</v>
      </c>
      <c r="E330" s="144">
        <f>E329/3.5</f>
        <v>0</v>
      </c>
      <c r="F330" s="144">
        <f>F329/3.5</f>
        <v>0</v>
      </c>
      <c r="G330" s="144">
        <f>G329/3.5</f>
        <v>0</v>
      </c>
      <c r="H330" s="148"/>
    </row>
    <row r="331" spans="1:8" hidden="1" x14ac:dyDescent="0.2">
      <c r="A331" s="101"/>
      <c r="B331" s="102" t="s">
        <v>141</v>
      </c>
      <c r="C331" s="99">
        <f>SUM('Personnel Yr 1'!J52)</f>
        <v>0</v>
      </c>
      <c r="D331" s="99">
        <f>SUM('Personnel Yr 2'!J52)</f>
        <v>0</v>
      </c>
      <c r="E331" s="99">
        <f>SUM('Personnel Yr 3'!J52)</f>
        <v>0</v>
      </c>
      <c r="F331" s="99">
        <f>SUM('Personnel Yr 4'!J52)</f>
        <v>0</v>
      </c>
      <c r="G331" s="99">
        <f>SUM('Personnel Yr 5'!J52)</f>
        <v>0</v>
      </c>
      <c r="H331" s="99">
        <f>SUM(C331:G331)</f>
        <v>0</v>
      </c>
    </row>
    <row r="332" spans="1:8" hidden="1" x14ac:dyDescent="0.2">
      <c r="A332" s="101"/>
      <c r="B332" s="146" t="s">
        <v>142</v>
      </c>
      <c r="C332" s="147">
        <f>C331/8.5</f>
        <v>0</v>
      </c>
      <c r="D332" s="147">
        <f>D331/8.5</f>
        <v>0</v>
      </c>
      <c r="E332" s="147">
        <f>E331/8.5</f>
        <v>0</v>
      </c>
      <c r="F332" s="147">
        <f>F331/8.5</f>
        <v>0</v>
      </c>
      <c r="G332" s="147">
        <f>G331/8.5</f>
        <v>0</v>
      </c>
      <c r="H332" s="148"/>
    </row>
    <row r="333" spans="1:8" hidden="1" x14ac:dyDescent="0.2">
      <c r="A333" s="106"/>
      <c r="B333" s="104" t="s">
        <v>143</v>
      </c>
      <c r="C333" s="99">
        <f>SUM('Personnel Yr 1'!I52)</f>
        <v>0</v>
      </c>
      <c r="D333" s="99">
        <f>SUM('Personnel Yr 2'!I52)</f>
        <v>0</v>
      </c>
      <c r="E333" s="99">
        <f>SUM('Personnel Yr 3'!I52)</f>
        <v>0</v>
      </c>
      <c r="F333" s="99">
        <f>SUM('Personnel Yr 4'!I52)</f>
        <v>0</v>
      </c>
      <c r="G333" s="99">
        <f>SUM('Personnel Yr 5'!I52)</f>
        <v>0</v>
      </c>
      <c r="H333" s="99">
        <f>SUM(C333:G333)</f>
        <v>0</v>
      </c>
    </row>
    <row r="334" spans="1:8" hidden="1" x14ac:dyDescent="0.2">
      <c r="A334" s="101"/>
      <c r="B334" s="146" t="s">
        <v>144</v>
      </c>
      <c r="C334" s="147">
        <f>C333/12</f>
        <v>0</v>
      </c>
      <c r="D334" s="147">
        <f>D333/12</f>
        <v>0</v>
      </c>
      <c r="E334" s="147">
        <f>E333/12</f>
        <v>0</v>
      </c>
      <c r="F334" s="147">
        <f>F333/12</f>
        <v>0</v>
      </c>
      <c r="G334" s="147">
        <f>G333/12</f>
        <v>0</v>
      </c>
      <c r="H334" s="149"/>
    </row>
    <row r="335" spans="1:8" hidden="1" x14ac:dyDescent="0.2">
      <c r="A335" s="777" t="str">
        <f>CONCATENATE('Personnel Yr 1'!B53, IF(OR(ISBLANK('Personnel Yr 1'!B53),'Personnel Yr 1'!B53=""),""," "),'Personnel Yr 1'!C53, " ",'Personnel Yr 1'!D53,IF(OR(ISBLANK('Personnel Yr 1'!D53),'Personnel Yr 1'!D53=""),""," "),'Personnel Yr 1'!E53," ",'Personnel Yr 1'!F53)</f>
        <v xml:space="preserve">  </v>
      </c>
      <c r="B335" s="778"/>
      <c r="C335" s="105"/>
      <c r="D335" s="105"/>
      <c r="E335" s="105"/>
      <c r="F335" s="105"/>
      <c r="G335" s="105"/>
      <c r="H335" s="103"/>
    </row>
    <row r="336" spans="1:8" hidden="1" x14ac:dyDescent="0.2">
      <c r="A336" s="100" t="str">
        <f>IF(ISBLANK('Personnel Yr 1'!G53),"",'Personnel Yr 1'!G53)</f>
        <v/>
      </c>
      <c r="B336" s="98" t="s">
        <v>139</v>
      </c>
      <c r="C336" s="99">
        <f>SUM('Personnel Yr 1'!K53)</f>
        <v>0</v>
      </c>
      <c r="D336" s="99">
        <f>SUM('Personnel Yr 2'!K53)</f>
        <v>0</v>
      </c>
      <c r="E336" s="99">
        <f>SUM('Personnel Yr 3'!K53)</f>
        <v>0</v>
      </c>
      <c r="F336" s="99">
        <f>SUM('Personnel Yr 4'!K53)</f>
        <v>0</v>
      </c>
      <c r="G336" s="99">
        <f>SUM('Personnel Yr 5'!K53)</f>
        <v>0</v>
      </c>
      <c r="H336" s="99">
        <f>SUM(C336:G336)</f>
        <v>0</v>
      </c>
    </row>
    <row r="337" spans="1:8" hidden="1" x14ac:dyDescent="0.2">
      <c r="A337" s="100"/>
      <c r="B337" s="150" t="s">
        <v>140</v>
      </c>
      <c r="C337" s="144">
        <f>C336/3.5</f>
        <v>0</v>
      </c>
      <c r="D337" s="144">
        <f>D336/3.5</f>
        <v>0</v>
      </c>
      <c r="E337" s="144">
        <f>E336/3.5</f>
        <v>0</v>
      </c>
      <c r="F337" s="144">
        <f>F336/3.5</f>
        <v>0</v>
      </c>
      <c r="G337" s="144">
        <f>G336/3.5</f>
        <v>0</v>
      </c>
      <c r="H337" s="148"/>
    </row>
    <row r="338" spans="1:8" hidden="1" x14ac:dyDescent="0.2">
      <c r="A338" s="101"/>
      <c r="B338" s="102" t="s">
        <v>141</v>
      </c>
      <c r="C338" s="99">
        <f>SUM('Personnel Yr 1'!J53)</f>
        <v>0</v>
      </c>
      <c r="D338" s="99">
        <f>SUM('Personnel Yr 2'!J53)</f>
        <v>0</v>
      </c>
      <c r="E338" s="99">
        <f>SUM('Personnel Yr 3'!J53)</f>
        <v>0</v>
      </c>
      <c r="F338" s="99">
        <f>SUM('Personnel Yr 4'!J53)</f>
        <v>0</v>
      </c>
      <c r="G338" s="99">
        <f>SUM('Personnel Yr 5'!J53)</f>
        <v>0</v>
      </c>
      <c r="H338" s="99">
        <f>SUM(C338:G338)</f>
        <v>0</v>
      </c>
    </row>
    <row r="339" spans="1:8" hidden="1" x14ac:dyDescent="0.2">
      <c r="A339" s="101"/>
      <c r="B339" s="146" t="s">
        <v>142</v>
      </c>
      <c r="C339" s="147">
        <f>C338/8.5</f>
        <v>0</v>
      </c>
      <c r="D339" s="147">
        <f>D338/8.5</f>
        <v>0</v>
      </c>
      <c r="E339" s="147">
        <f>E338/8.5</f>
        <v>0</v>
      </c>
      <c r="F339" s="147">
        <f>F338/8.5</f>
        <v>0</v>
      </c>
      <c r="G339" s="147">
        <f>G338/8.5</f>
        <v>0</v>
      </c>
      <c r="H339" s="148"/>
    </row>
    <row r="340" spans="1:8" hidden="1" x14ac:dyDescent="0.2">
      <c r="A340" s="106"/>
      <c r="B340" s="104" t="s">
        <v>143</v>
      </c>
      <c r="C340" s="99">
        <f>SUM('Personnel Yr 1'!I53)</f>
        <v>0</v>
      </c>
      <c r="D340" s="99">
        <f>SUM('Personnel Yr 2'!I53)</f>
        <v>0</v>
      </c>
      <c r="E340" s="99">
        <f>SUM('Personnel Yr 3'!I53)</f>
        <v>0</v>
      </c>
      <c r="F340" s="99">
        <f>SUM('Personnel Yr 4'!I53)</f>
        <v>0</v>
      </c>
      <c r="G340" s="99">
        <f>SUM('Personnel Yr 5'!I53)</f>
        <v>0</v>
      </c>
      <c r="H340" s="99">
        <f>SUM(C340:G340)</f>
        <v>0</v>
      </c>
    </row>
    <row r="341" spans="1:8" hidden="1" x14ac:dyDescent="0.2">
      <c r="A341" s="101"/>
      <c r="B341" s="146" t="s">
        <v>144</v>
      </c>
      <c r="C341" s="147">
        <f>C340/12</f>
        <v>0</v>
      </c>
      <c r="D341" s="147">
        <f>D340/12</f>
        <v>0</v>
      </c>
      <c r="E341" s="147">
        <f>E340/12</f>
        <v>0</v>
      </c>
      <c r="F341" s="147">
        <f>F340/12</f>
        <v>0</v>
      </c>
      <c r="G341" s="147">
        <f>G340/12</f>
        <v>0</v>
      </c>
      <c r="H341" s="149"/>
    </row>
    <row r="342" spans="1:8" hidden="1" x14ac:dyDescent="0.2">
      <c r="A342" s="777" t="str">
        <f>CONCATENATE('Personnel Yr 1'!B54, IF(OR(ISBLANK('Personnel Yr 1'!B54),'Personnel Yr 1'!B54=""),""," "),'Personnel Yr 1'!C54, " ",'Personnel Yr 1'!D54,IF(OR(ISBLANK('Personnel Yr 1'!D54),'Personnel Yr 1'!D54=""),""," "),'Personnel Yr 1'!E54," ",'Personnel Yr 1'!F54)</f>
        <v xml:space="preserve">  </v>
      </c>
      <c r="B342" s="778"/>
      <c r="C342" s="105"/>
      <c r="D342" s="105"/>
      <c r="E342" s="105"/>
      <c r="F342" s="105"/>
      <c r="G342" s="105"/>
      <c r="H342" s="103"/>
    </row>
    <row r="343" spans="1:8" hidden="1" x14ac:dyDescent="0.2">
      <c r="A343" s="100" t="str">
        <f>IF(ISBLANK('Personnel Yr 1'!G54),"",'Personnel Yr 1'!G54)</f>
        <v/>
      </c>
      <c r="B343" s="98" t="s">
        <v>139</v>
      </c>
      <c r="C343" s="99">
        <f>SUM('Personnel Yr 1'!K54)</f>
        <v>0</v>
      </c>
      <c r="D343" s="99">
        <f>SUM('Personnel Yr 2'!K54)</f>
        <v>0</v>
      </c>
      <c r="E343" s="99">
        <f>SUM('Personnel Yr 3'!K54)</f>
        <v>0</v>
      </c>
      <c r="F343" s="99">
        <f>SUM('Personnel Yr 4'!K54)</f>
        <v>0</v>
      </c>
      <c r="G343" s="99">
        <f>SUM('Personnel Yr 5'!K54)</f>
        <v>0</v>
      </c>
      <c r="H343" s="99">
        <f>SUM(C343:G343)</f>
        <v>0</v>
      </c>
    </row>
    <row r="344" spans="1:8" hidden="1" x14ac:dyDescent="0.2">
      <c r="A344" s="100"/>
      <c r="B344" s="150" t="s">
        <v>140</v>
      </c>
      <c r="C344" s="144">
        <f>C343/3.5</f>
        <v>0</v>
      </c>
      <c r="D344" s="144">
        <f>D343/3.5</f>
        <v>0</v>
      </c>
      <c r="E344" s="144">
        <f>E343/3.5</f>
        <v>0</v>
      </c>
      <c r="F344" s="144">
        <f>F343/3.5</f>
        <v>0</v>
      </c>
      <c r="G344" s="144">
        <f>G343/3.5</f>
        <v>0</v>
      </c>
      <c r="H344" s="148"/>
    </row>
    <row r="345" spans="1:8" hidden="1" x14ac:dyDescent="0.2">
      <c r="A345" s="101"/>
      <c r="B345" s="102" t="s">
        <v>141</v>
      </c>
      <c r="C345" s="99">
        <f>SUM('Personnel Yr 1'!J54)</f>
        <v>0</v>
      </c>
      <c r="D345" s="99">
        <f>SUM('Personnel Yr 2'!J54)</f>
        <v>0</v>
      </c>
      <c r="E345" s="99">
        <f>SUM('Personnel Yr 3'!J54)</f>
        <v>0</v>
      </c>
      <c r="F345" s="99">
        <f>SUM('Personnel Yr 4'!J54)</f>
        <v>0</v>
      </c>
      <c r="G345" s="99">
        <f>SUM('Personnel Yr 5'!J54)</f>
        <v>0</v>
      </c>
      <c r="H345" s="99">
        <f>SUM(C345:G345)</f>
        <v>0</v>
      </c>
    </row>
    <row r="346" spans="1:8" hidden="1" x14ac:dyDescent="0.2">
      <c r="A346" s="101"/>
      <c r="B346" s="146" t="s">
        <v>142</v>
      </c>
      <c r="C346" s="147">
        <f>C345/8.5</f>
        <v>0</v>
      </c>
      <c r="D346" s="147">
        <f>D345/8.5</f>
        <v>0</v>
      </c>
      <c r="E346" s="147">
        <f>E345/8.5</f>
        <v>0</v>
      </c>
      <c r="F346" s="147">
        <f>F345/8.5</f>
        <v>0</v>
      </c>
      <c r="G346" s="147">
        <f>G345/8.5</f>
        <v>0</v>
      </c>
      <c r="H346" s="148"/>
    </row>
    <row r="347" spans="1:8" hidden="1" x14ac:dyDescent="0.2">
      <c r="A347" s="106"/>
      <c r="B347" s="104" t="s">
        <v>143</v>
      </c>
      <c r="C347" s="99">
        <f>SUM('Personnel Yr 1'!I55)</f>
        <v>0</v>
      </c>
      <c r="D347" s="99">
        <f>SUM('Personnel Yr 2'!I55)</f>
        <v>0</v>
      </c>
      <c r="E347" s="99">
        <f>SUM('Personnel Yr 3'!I55)</f>
        <v>0</v>
      </c>
      <c r="F347" s="99">
        <f>SUM('Personnel Yr 4'!I55)</f>
        <v>0</v>
      </c>
      <c r="G347" s="99">
        <f>SUM('Personnel Yr 5'!I55)</f>
        <v>0</v>
      </c>
      <c r="H347" s="99">
        <f>SUM(C347:G347)</f>
        <v>0</v>
      </c>
    </row>
    <row r="348" spans="1:8" hidden="1" x14ac:dyDescent="0.2">
      <c r="A348" s="101"/>
      <c r="B348" s="146" t="s">
        <v>144</v>
      </c>
      <c r="C348" s="147">
        <f>C347/12</f>
        <v>0</v>
      </c>
      <c r="D348" s="147">
        <f>D347/12</f>
        <v>0</v>
      </c>
      <c r="E348" s="147">
        <f>E347/12</f>
        <v>0</v>
      </c>
      <c r="F348" s="147">
        <f>F347/12</f>
        <v>0</v>
      </c>
      <c r="G348" s="147">
        <f>G347/12</f>
        <v>0</v>
      </c>
      <c r="H348" s="149"/>
    </row>
    <row r="349" spans="1:8" hidden="1" x14ac:dyDescent="0.2">
      <c r="A349" s="777" t="str">
        <f>CONCATENATE('Personnel Yr 1'!B55, IF(OR(ISBLANK('Personnel Yr 1'!B55),'Personnel Yr 1'!B55=""),""," "),'Personnel Yr 1'!C55, " ",'Personnel Yr 1'!D55,IF(OR(ISBLANK('Personnel Yr 1'!D55),'Personnel Yr 1'!D55=""),""," "),'Personnel Yr 1'!E55," ",'Personnel Yr 1'!F55)</f>
        <v xml:space="preserve">  </v>
      </c>
      <c r="B349" s="778"/>
      <c r="C349" s="105"/>
      <c r="D349" s="105"/>
      <c r="E349" s="105"/>
      <c r="F349" s="105"/>
      <c r="G349" s="105"/>
      <c r="H349" s="103"/>
    </row>
    <row r="350" spans="1:8" hidden="1" x14ac:dyDescent="0.2">
      <c r="A350" s="100" t="str">
        <f>IF(ISBLANK('Personnel Yr 1'!G55),"",'Personnel Yr 1'!G55)</f>
        <v/>
      </c>
      <c r="B350" s="98" t="s">
        <v>139</v>
      </c>
      <c r="C350" s="99">
        <f>SUM('Personnel Yr 1'!K55)</f>
        <v>0</v>
      </c>
      <c r="D350" s="99">
        <f>SUM('Personnel Yr 2'!K55)</f>
        <v>0</v>
      </c>
      <c r="E350" s="99">
        <f>SUM('Personnel Yr 3'!K55)</f>
        <v>0</v>
      </c>
      <c r="F350" s="99">
        <f>SUM('Personnel Yr 4'!K55)</f>
        <v>0</v>
      </c>
      <c r="G350" s="99">
        <f>SUM('Personnel Yr 5'!K55)</f>
        <v>0</v>
      </c>
      <c r="H350" s="99">
        <f>SUM(C350:G350)</f>
        <v>0</v>
      </c>
    </row>
    <row r="351" spans="1:8" hidden="1" x14ac:dyDescent="0.2">
      <c r="A351" s="100"/>
      <c r="B351" s="150" t="s">
        <v>140</v>
      </c>
      <c r="C351" s="144">
        <f>C350/3.5</f>
        <v>0</v>
      </c>
      <c r="D351" s="144">
        <f>D350/3.5</f>
        <v>0</v>
      </c>
      <c r="E351" s="144">
        <f>E350/3.5</f>
        <v>0</v>
      </c>
      <c r="F351" s="144">
        <f>F350/3.5</f>
        <v>0</v>
      </c>
      <c r="G351" s="144">
        <f>G350/3.5</f>
        <v>0</v>
      </c>
      <c r="H351" s="148"/>
    </row>
    <row r="352" spans="1:8" hidden="1" x14ac:dyDescent="0.2">
      <c r="A352" s="101"/>
      <c r="B352" s="102" t="s">
        <v>141</v>
      </c>
      <c r="C352" s="99">
        <f>SUM('Personnel Yr 1'!J55)</f>
        <v>0</v>
      </c>
      <c r="D352" s="99">
        <f>SUM('Personnel Yr 2'!J55)</f>
        <v>0</v>
      </c>
      <c r="E352" s="99">
        <f>SUM('Personnel Yr 3'!J55)</f>
        <v>0</v>
      </c>
      <c r="F352" s="99">
        <f>SUM('Personnel Yr 4'!J55)</f>
        <v>0</v>
      </c>
      <c r="G352" s="99">
        <f>SUM('Personnel Yr 5'!J55)</f>
        <v>0</v>
      </c>
      <c r="H352" s="99">
        <f>SUM(C352:G352)</f>
        <v>0</v>
      </c>
    </row>
    <row r="353" spans="1:8" hidden="1" x14ac:dyDescent="0.2">
      <c r="A353" s="101"/>
      <c r="B353" s="146" t="s">
        <v>142</v>
      </c>
      <c r="C353" s="147">
        <f>C352/8.5</f>
        <v>0</v>
      </c>
      <c r="D353" s="147">
        <f>D352/8.5</f>
        <v>0</v>
      </c>
      <c r="E353" s="147">
        <f>E352/8.5</f>
        <v>0</v>
      </c>
      <c r="F353" s="147">
        <f>F352/8.5</f>
        <v>0</v>
      </c>
      <c r="G353" s="147">
        <f>G352/8.5</f>
        <v>0</v>
      </c>
      <c r="H353" s="148"/>
    </row>
    <row r="354" spans="1:8" hidden="1" x14ac:dyDescent="0.2">
      <c r="A354" s="106"/>
      <c r="B354" s="104" t="s">
        <v>143</v>
      </c>
      <c r="C354" s="99">
        <f>SUM('Personnel Yr 1'!I55)</f>
        <v>0</v>
      </c>
      <c r="D354" s="99">
        <f>SUM('Personnel Yr 2'!I55)</f>
        <v>0</v>
      </c>
      <c r="E354" s="99">
        <f>SUM('Personnel Yr 3'!I55)</f>
        <v>0</v>
      </c>
      <c r="F354" s="99">
        <f>SUM('Personnel Yr 4'!I55)</f>
        <v>0</v>
      </c>
      <c r="G354" s="99">
        <f>SUM('Personnel Yr 5'!I55)</f>
        <v>0</v>
      </c>
      <c r="H354" s="99">
        <f>SUM(C354:G354)</f>
        <v>0</v>
      </c>
    </row>
    <row r="355" spans="1:8" hidden="1" x14ac:dyDescent="0.2">
      <c r="A355" s="125"/>
      <c r="B355" s="146" t="s">
        <v>144</v>
      </c>
      <c r="C355" s="147">
        <f>C354/12</f>
        <v>0</v>
      </c>
      <c r="D355" s="147">
        <f>D354/12</f>
        <v>0</v>
      </c>
      <c r="E355" s="147">
        <f>E354/12</f>
        <v>0</v>
      </c>
      <c r="F355" s="147">
        <f>F354/12</f>
        <v>0</v>
      </c>
      <c r="G355" s="147">
        <f>G354/12</f>
        <v>0</v>
      </c>
      <c r="H355" s="149"/>
    </row>
    <row r="356" spans="1:8" hidden="1" x14ac:dyDescent="0.2">
      <c r="A356" s="777" t="str">
        <f>CONCATENATE('Personnel Yr 1'!B56, IF(OR(ISBLANK('Personnel Yr 1'!B56),'Personnel Yr 1'!B56=""),""," "),'Personnel Yr 1'!C56, " ",'Personnel Yr 1'!D56,IF(OR(ISBLANK('Personnel Yr 1'!D56),'Personnel Yr 1'!D56=""),""," "),'Personnel Yr 1'!E56," ",'Personnel Yr 1'!F56)</f>
        <v xml:space="preserve">  </v>
      </c>
      <c r="B356" s="778"/>
      <c r="C356" s="105"/>
      <c r="D356" s="105"/>
      <c r="E356" s="105"/>
      <c r="F356" s="105"/>
      <c r="G356" s="105"/>
      <c r="H356" s="103"/>
    </row>
    <row r="357" spans="1:8" hidden="1" x14ac:dyDescent="0.2">
      <c r="A357" s="97" t="str">
        <f>IF(ISBLANK('Personnel Yr 1'!G56),"",'Personnel Yr 1'!G56)</f>
        <v/>
      </c>
      <c r="B357" s="98" t="s">
        <v>139</v>
      </c>
      <c r="C357" s="99">
        <f>SUM('Personnel Yr 1'!K56)</f>
        <v>0</v>
      </c>
      <c r="D357" s="99">
        <f>SUM('Personnel Yr 2'!K56)</f>
        <v>0</v>
      </c>
      <c r="E357" s="99">
        <f>SUM('Personnel Yr 3'!K56)</f>
        <v>0</v>
      </c>
      <c r="F357" s="99">
        <f>SUM('Personnel Yr 4'!K56)</f>
        <v>0</v>
      </c>
      <c r="G357" s="99">
        <f>SUM('Personnel Yr 4'!K56)</f>
        <v>0</v>
      </c>
      <c r="H357" s="99">
        <f>SUM(C357:G357)</f>
        <v>0</v>
      </c>
    </row>
    <row r="358" spans="1:8" hidden="1" x14ac:dyDescent="0.2">
      <c r="A358" s="100"/>
      <c r="B358" s="150" t="s">
        <v>140</v>
      </c>
      <c r="C358" s="144">
        <f>C357/3.5</f>
        <v>0</v>
      </c>
      <c r="D358" s="144">
        <f>D357/3.5</f>
        <v>0</v>
      </c>
      <c r="E358" s="144">
        <f>E357/3.5</f>
        <v>0</v>
      </c>
      <c r="F358" s="144">
        <f>F357/3.5</f>
        <v>0</v>
      </c>
      <c r="G358" s="144">
        <f>G357/3.5</f>
        <v>0</v>
      </c>
      <c r="H358" s="148"/>
    </row>
    <row r="359" spans="1:8" hidden="1" x14ac:dyDescent="0.2">
      <c r="A359" s="101"/>
      <c r="B359" s="102" t="s">
        <v>141</v>
      </c>
      <c r="C359" s="99">
        <f>SUM('Personnel Yr 1'!J56)</f>
        <v>0</v>
      </c>
      <c r="D359" s="99">
        <f>SUM('Personnel Yr 2'!J56)</f>
        <v>0</v>
      </c>
      <c r="E359" s="99">
        <f>SUM('Personnel Yr 3'!J56)</f>
        <v>0</v>
      </c>
      <c r="F359" s="99">
        <f>SUM('Personnel Yr 4'!J56)</f>
        <v>0</v>
      </c>
      <c r="G359" s="99">
        <f>SUM('Personnel Yr 5'!J56)</f>
        <v>0</v>
      </c>
      <c r="H359" s="99">
        <f>SUM(C359:G359)</f>
        <v>0</v>
      </c>
    </row>
    <row r="360" spans="1:8" hidden="1" x14ac:dyDescent="0.2">
      <c r="A360" s="101"/>
      <c r="B360" s="146" t="s">
        <v>142</v>
      </c>
      <c r="C360" s="147">
        <f>C359/8.5</f>
        <v>0</v>
      </c>
      <c r="D360" s="147">
        <f>D359/8.5</f>
        <v>0</v>
      </c>
      <c r="E360" s="147">
        <f>E359/8.5</f>
        <v>0</v>
      </c>
      <c r="F360" s="147">
        <f>F359/8.5</f>
        <v>0</v>
      </c>
      <c r="G360" s="147">
        <f>G359/8.5</f>
        <v>0</v>
      </c>
      <c r="H360" s="148"/>
    </row>
    <row r="361" spans="1:8" hidden="1" x14ac:dyDescent="0.2">
      <c r="A361" s="106"/>
      <c r="B361" s="104" t="s">
        <v>143</v>
      </c>
      <c r="C361" s="99">
        <f>SUM('Personnel Yr 1'!I56)</f>
        <v>0</v>
      </c>
      <c r="D361" s="99">
        <f>SUM('Personnel Yr 2'!I56)</f>
        <v>0</v>
      </c>
      <c r="E361" s="99">
        <f>SUM('Personnel Yr 3'!I56)</f>
        <v>0</v>
      </c>
      <c r="F361" s="99">
        <f>SUM('Personnel Yr 4'!I56)</f>
        <v>0</v>
      </c>
      <c r="G361" s="99">
        <f>SUM('Personnel Yr 5'!I56)</f>
        <v>0</v>
      </c>
      <c r="H361" s="99">
        <f>SUM(C361:G361)</f>
        <v>0</v>
      </c>
    </row>
    <row r="362" spans="1:8" hidden="1" x14ac:dyDescent="0.2">
      <c r="A362" s="125"/>
      <c r="B362" s="146" t="s">
        <v>144</v>
      </c>
      <c r="C362" s="147">
        <f>C361/12</f>
        <v>0</v>
      </c>
      <c r="D362" s="147">
        <f>D361/12</f>
        <v>0</v>
      </c>
      <c r="E362" s="147">
        <f>E361/12</f>
        <v>0</v>
      </c>
      <c r="F362" s="147">
        <f>F361/12</f>
        <v>0</v>
      </c>
      <c r="G362" s="147">
        <f>G361/12</f>
        <v>0</v>
      </c>
      <c r="H362" s="151"/>
    </row>
    <row r="363" spans="1:8" hidden="1" x14ac:dyDescent="0.2">
      <c r="A363" s="777" t="str">
        <f>CONCATENATE('Personnel Yr 1'!B57, IF(OR(ISBLANK('Personnel Yr 1'!B57),'Personnel Yr 1'!B57=""),""," "),'Personnel Yr 1'!C57, " ",'Personnel Yr 1'!D57,IF(OR(ISBLANK('Personnel Yr 1'!D57),'Personnel Yr 1'!D57=""),""," "),'Personnel Yr 1'!E57," ",'Personnel Yr 1'!F57)</f>
        <v xml:space="preserve">  </v>
      </c>
      <c r="B363" s="778"/>
      <c r="C363" s="105"/>
      <c r="D363" s="105"/>
      <c r="E363" s="105"/>
      <c r="F363" s="105"/>
      <c r="G363" s="105"/>
      <c r="H363" s="103"/>
    </row>
    <row r="364" spans="1:8" hidden="1" x14ac:dyDescent="0.2">
      <c r="A364" s="97" t="str">
        <f>IF(ISBLANK('Personnel Yr 1'!G57),"",'Personnel Yr 1'!G57)</f>
        <v/>
      </c>
      <c r="B364" s="98" t="s">
        <v>139</v>
      </c>
      <c r="C364" s="99">
        <f>SUM('Personnel Yr 1'!K57)</f>
        <v>0</v>
      </c>
      <c r="D364" s="99">
        <f>SUM('Personnel Yr 2'!K57)</f>
        <v>0</v>
      </c>
      <c r="E364" s="99">
        <f>SUM('Personnel Yr 3'!K57)</f>
        <v>0</v>
      </c>
      <c r="F364" s="99">
        <f>SUM('Personnel Yr 4'!K57)</f>
        <v>0</v>
      </c>
      <c r="G364" s="99">
        <f>SUM('Personnel Yr 4'!K57)</f>
        <v>0</v>
      </c>
      <c r="H364" s="99">
        <f>SUM(C364:G364)</f>
        <v>0</v>
      </c>
    </row>
    <row r="365" spans="1:8" hidden="1" x14ac:dyDescent="0.2">
      <c r="A365" s="100"/>
      <c r="B365" s="150" t="s">
        <v>140</v>
      </c>
      <c r="C365" s="144">
        <f>C364/3.5</f>
        <v>0</v>
      </c>
      <c r="D365" s="144">
        <f>D364/3.5</f>
        <v>0</v>
      </c>
      <c r="E365" s="144">
        <f>E364/3.5</f>
        <v>0</v>
      </c>
      <c r="F365" s="144">
        <f>F364/3.5</f>
        <v>0</v>
      </c>
      <c r="G365" s="144">
        <f>G364/3.5</f>
        <v>0</v>
      </c>
      <c r="H365" s="148"/>
    </row>
    <row r="366" spans="1:8" hidden="1" x14ac:dyDescent="0.2">
      <c r="A366" s="101"/>
      <c r="B366" s="102" t="s">
        <v>141</v>
      </c>
      <c r="C366" s="99">
        <f>SUM('Personnel Yr 1'!J57)</f>
        <v>0</v>
      </c>
      <c r="D366" s="99">
        <f>SUM('Personnel Yr 2'!J57)</f>
        <v>0</v>
      </c>
      <c r="E366" s="99">
        <f>SUM('Personnel Yr 3'!J57)</f>
        <v>0</v>
      </c>
      <c r="F366" s="99">
        <f>SUM('Personnel Yr 4'!J57)</f>
        <v>0</v>
      </c>
      <c r="G366" s="99">
        <f>SUM('Personnel Yr 5'!J57)</f>
        <v>0</v>
      </c>
      <c r="H366" s="99">
        <f>SUM(C366:G366)</f>
        <v>0</v>
      </c>
    </row>
    <row r="367" spans="1:8" hidden="1" x14ac:dyDescent="0.2">
      <c r="A367" s="101"/>
      <c r="B367" s="146" t="s">
        <v>142</v>
      </c>
      <c r="C367" s="147">
        <f>C366/8.5</f>
        <v>0</v>
      </c>
      <c r="D367" s="147">
        <f>D366/8.5</f>
        <v>0</v>
      </c>
      <c r="E367" s="147">
        <f>E366/8.5</f>
        <v>0</v>
      </c>
      <c r="F367" s="147">
        <f>F366/8.5</f>
        <v>0</v>
      </c>
      <c r="G367" s="147">
        <f>G366/8.5</f>
        <v>0</v>
      </c>
      <c r="H367" s="148"/>
    </row>
    <row r="368" spans="1:8" hidden="1" x14ac:dyDescent="0.2">
      <c r="A368" s="106"/>
      <c r="B368" s="104" t="s">
        <v>143</v>
      </c>
      <c r="C368" s="99">
        <f>SUM('Personnel Yr 1'!I57)</f>
        <v>0</v>
      </c>
      <c r="D368" s="99">
        <f>SUM('Personnel Yr 2'!I57)</f>
        <v>0</v>
      </c>
      <c r="E368" s="99">
        <f>SUM('Personnel Yr 3'!I57)</f>
        <v>0</v>
      </c>
      <c r="F368" s="99">
        <f>SUM('Personnel Yr 4'!I57)</f>
        <v>0</v>
      </c>
      <c r="G368" s="99">
        <f>SUM('Personnel Yr 5'!I57)</f>
        <v>0</v>
      </c>
      <c r="H368" s="99">
        <f>SUM(C368:G368)</f>
        <v>0</v>
      </c>
    </row>
    <row r="369" spans="1:8" hidden="1" x14ac:dyDescent="0.2">
      <c r="A369" s="125"/>
      <c r="B369" s="146" t="s">
        <v>144</v>
      </c>
      <c r="C369" s="147">
        <f>C368/12</f>
        <v>0</v>
      </c>
      <c r="D369" s="147">
        <f>D368/12</f>
        <v>0</v>
      </c>
      <c r="E369" s="147">
        <f>E368/12</f>
        <v>0</v>
      </c>
      <c r="F369" s="147">
        <f>F368/12</f>
        <v>0</v>
      </c>
      <c r="G369" s="147">
        <f>G368/12</f>
        <v>0</v>
      </c>
      <c r="H369" s="151"/>
    </row>
    <row r="370" spans="1:8" hidden="1" x14ac:dyDescent="0.2">
      <c r="A370" s="777" t="str">
        <f>CONCATENATE('Personnel Yr 1'!B58, IF(OR(ISBLANK('Personnel Yr 1'!B58),'Personnel Yr 1'!B58=""),""," "),'Personnel Yr 1'!C58, " ",'Personnel Yr 1'!D58,IF(OR(ISBLANK('Personnel Yr 1'!D58),'Personnel Yr 1'!D58=""),""," "),'Personnel Yr 1'!E58," ",'Personnel Yr 1'!F58)</f>
        <v xml:space="preserve">  </v>
      </c>
      <c r="B370" s="778"/>
      <c r="C370" s="108"/>
      <c r="D370" s="108"/>
      <c r="E370" s="108"/>
      <c r="F370" s="108"/>
      <c r="G370" s="124"/>
      <c r="H370" s="123"/>
    </row>
    <row r="371" spans="1:8" hidden="1" x14ac:dyDescent="0.2">
      <c r="A371" s="97" t="str">
        <f>IF(ISBLANK('Personnel Yr 1'!G58),"",'Personnel Yr 1'!G58)</f>
        <v/>
      </c>
      <c r="B371" s="98" t="s">
        <v>139</v>
      </c>
      <c r="C371" s="99">
        <f>SUM('Personnel Yr 1'!K58)</f>
        <v>0</v>
      </c>
      <c r="D371" s="99">
        <f>SUM('Personnel Yr 2'!K58)</f>
        <v>0</v>
      </c>
      <c r="E371" s="99">
        <f>SUM('Personnel Yr 3'!K58)</f>
        <v>0</v>
      </c>
      <c r="F371" s="99">
        <f>SUM('Personnel Yr 4'!K58)</f>
        <v>0</v>
      </c>
      <c r="G371" s="99">
        <f>SUM('Personnel Yr 5'!K58)</f>
        <v>0</v>
      </c>
      <c r="H371" s="99">
        <f>SUM(C371:G371)</f>
        <v>0</v>
      </c>
    </row>
    <row r="372" spans="1:8" hidden="1" x14ac:dyDescent="0.2">
      <c r="A372" s="100"/>
      <c r="B372" s="150" t="s">
        <v>140</v>
      </c>
      <c r="C372" s="144">
        <f>C371/3.5</f>
        <v>0</v>
      </c>
      <c r="D372" s="144">
        <f>D371/3.5</f>
        <v>0</v>
      </c>
      <c r="E372" s="144">
        <f>E371/3.5</f>
        <v>0</v>
      </c>
      <c r="F372" s="144">
        <f>F371/3.5</f>
        <v>0</v>
      </c>
      <c r="G372" s="144">
        <f>G371/3.5</f>
        <v>0</v>
      </c>
      <c r="H372" s="148"/>
    </row>
    <row r="373" spans="1:8" hidden="1" x14ac:dyDescent="0.2">
      <c r="A373" s="101"/>
      <c r="B373" s="102" t="s">
        <v>141</v>
      </c>
      <c r="C373" s="99">
        <f>SUM('Personnel Yr 1'!J58)</f>
        <v>0</v>
      </c>
      <c r="D373" s="99">
        <f>SUM('Personnel Yr 2'!J58)</f>
        <v>0</v>
      </c>
      <c r="E373" s="99">
        <f>SUM('Personnel Yr 3'!J58)</f>
        <v>0</v>
      </c>
      <c r="F373" s="99">
        <f>SUM('Personnel Yr 4'!J58)</f>
        <v>0</v>
      </c>
      <c r="G373" s="99">
        <f>SUM('Personnel Yr 5'!J58)</f>
        <v>0</v>
      </c>
      <c r="H373" s="99">
        <f>SUM(C373:G373)</f>
        <v>0</v>
      </c>
    </row>
    <row r="374" spans="1:8" hidden="1" x14ac:dyDescent="0.2">
      <c r="A374" s="101"/>
      <c r="B374" s="146" t="s">
        <v>142</v>
      </c>
      <c r="C374" s="147">
        <f>C373/8.5</f>
        <v>0</v>
      </c>
      <c r="D374" s="147">
        <f>D373/8.5</f>
        <v>0</v>
      </c>
      <c r="E374" s="147">
        <f>E373/8.5</f>
        <v>0</v>
      </c>
      <c r="F374" s="147">
        <f>F373/8.5</f>
        <v>0</v>
      </c>
      <c r="G374" s="147">
        <f>G373/8.5</f>
        <v>0</v>
      </c>
      <c r="H374" s="148"/>
    </row>
    <row r="375" spans="1:8" hidden="1" x14ac:dyDescent="0.2">
      <c r="A375" s="101"/>
      <c r="B375" s="104" t="s">
        <v>143</v>
      </c>
      <c r="C375" s="99">
        <f>SUM('Personnel Yr 1'!I58)</f>
        <v>0</v>
      </c>
      <c r="D375" s="99">
        <f>SUM('Personnel Yr 2'!I58)</f>
        <v>0</v>
      </c>
      <c r="E375" s="99">
        <f>SUM('Personnel Yr 3'!I58)</f>
        <v>0</v>
      </c>
      <c r="F375" s="99">
        <f>SUM('Personnel Yr 4'!I58)</f>
        <v>0</v>
      </c>
      <c r="G375" s="99">
        <f>SUM('Personnel Yr 5'!I58)</f>
        <v>0</v>
      </c>
      <c r="H375" s="99">
        <f>SUM(C375:G375)</f>
        <v>0</v>
      </c>
    </row>
    <row r="376" spans="1:8" ht="13.5" hidden="1" thickBot="1" x14ac:dyDescent="0.25">
      <c r="A376" s="107"/>
      <c r="B376" s="152" t="s">
        <v>144</v>
      </c>
      <c r="C376" s="153">
        <f>C375/12</f>
        <v>0</v>
      </c>
      <c r="D376" s="153">
        <f>D375/12</f>
        <v>0</v>
      </c>
      <c r="E376" s="153">
        <f>E375/12</f>
        <v>0</v>
      </c>
      <c r="F376" s="153">
        <f>F375/12</f>
        <v>0</v>
      </c>
      <c r="G376" s="153">
        <f>G375/12</f>
        <v>0</v>
      </c>
      <c r="H376" s="154"/>
    </row>
  </sheetData>
  <sheetProtection algorithmName="SHA-512" hashValue="c31XPW7p2nQA3hFw6cOXITmZPZyQFDvlUV1kJ1rhck6XG0m6gLzWrmA8UOY4Z2/VkToLFqtwzjABOL6l6r4uag==" saltValue="ozdr0FKjGJm7/S1SKYaDLQ==" spinCount="100000" sheet="1" objects="1" scenarios="1"/>
  <mergeCells count="136">
    <mergeCell ref="A154:B154"/>
    <mergeCell ref="A142:B142"/>
    <mergeCell ref="A103:B103"/>
    <mergeCell ref="A65:B65"/>
    <mergeCell ref="A116:B116"/>
    <mergeCell ref="A168:B168"/>
    <mergeCell ref="A183:A184"/>
    <mergeCell ref="A173:B173"/>
    <mergeCell ref="A175:B175"/>
    <mergeCell ref="A171:B171"/>
    <mergeCell ref="A176:B176"/>
    <mergeCell ref="A178:B178"/>
    <mergeCell ref="A180:B180"/>
    <mergeCell ref="A122:B122"/>
    <mergeCell ref="A136:B136"/>
    <mergeCell ref="A133:B133"/>
    <mergeCell ref="A135:B135"/>
    <mergeCell ref="A127:B127"/>
    <mergeCell ref="A117:B117"/>
    <mergeCell ref="A126:B126"/>
    <mergeCell ref="A149:B149"/>
    <mergeCell ref="A152:B152"/>
    <mergeCell ref="A163:B163"/>
    <mergeCell ref="A138:B138"/>
    <mergeCell ref="A1:H1"/>
    <mergeCell ref="A102:B102"/>
    <mergeCell ref="A39:B39"/>
    <mergeCell ref="A5:B5"/>
    <mergeCell ref="A41:B41"/>
    <mergeCell ref="A44:B44"/>
    <mergeCell ref="A43:B43"/>
    <mergeCell ref="A10:B10"/>
    <mergeCell ref="A22:B22"/>
    <mergeCell ref="A18:B18"/>
    <mergeCell ref="A14:B14"/>
    <mergeCell ref="A93:B93"/>
    <mergeCell ref="A101:B101"/>
    <mergeCell ref="A58:B58"/>
    <mergeCell ref="A86:B86"/>
    <mergeCell ref="A72:B72"/>
    <mergeCell ref="A79:B79"/>
    <mergeCell ref="A51:B51"/>
    <mergeCell ref="A40:B40"/>
    <mergeCell ref="A38:B38"/>
    <mergeCell ref="A34:B34"/>
    <mergeCell ref="A30:B30"/>
    <mergeCell ref="A26:B26"/>
    <mergeCell ref="A4:B4"/>
    <mergeCell ref="A140:B140"/>
    <mergeCell ref="A139:B139"/>
    <mergeCell ref="A128:B128"/>
    <mergeCell ref="A118:B118"/>
    <mergeCell ref="A124:B124"/>
    <mergeCell ref="A130:B130"/>
    <mergeCell ref="A132:B132"/>
    <mergeCell ref="A131:B131"/>
    <mergeCell ref="A137:B137"/>
    <mergeCell ref="A121:B121"/>
    <mergeCell ref="A111:B111"/>
    <mergeCell ref="A119:B119"/>
    <mergeCell ref="A120:B120"/>
    <mergeCell ref="A112:B112"/>
    <mergeCell ref="A114:B114"/>
    <mergeCell ref="A108:B108"/>
    <mergeCell ref="A104:B104"/>
    <mergeCell ref="A107:B107"/>
    <mergeCell ref="A105:B105"/>
    <mergeCell ref="A106:B106"/>
    <mergeCell ref="A109:B109"/>
    <mergeCell ref="A110:B110"/>
    <mergeCell ref="A266:B266"/>
    <mergeCell ref="A146:B146"/>
    <mergeCell ref="A150:B150"/>
    <mergeCell ref="A153:B153"/>
    <mergeCell ref="A151:B151"/>
    <mergeCell ref="A144:B144"/>
    <mergeCell ref="A143:B143"/>
    <mergeCell ref="A148:B148"/>
    <mergeCell ref="A199:A200"/>
    <mergeCell ref="A185:A186"/>
    <mergeCell ref="A187:A188"/>
    <mergeCell ref="A165:B165"/>
    <mergeCell ref="A162:B162"/>
    <mergeCell ref="A161:B161"/>
    <mergeCell ref="A145:B145"/>
    <mergeCell ref="A189:A190"/>
    <mergeCell ref="A191:A192"/>
    <mergeCell ref="A195:A196"/>
    <mergeCell ref="A213:B213"/>
    <mergeCell ref="A217:B217"/>
    <mergeCell ref="A237:B237"/>
    <mergeCell ref="A253:B253"/>
    <mergeCell ref="A147:B147"/>
    <mergeCell ref="A155:B155"/>
    <mergeCell ref="A156:B156"/>
    <mergeCell ref="A157:B157"/>
    <mergeCell ref="A241:B241"/>
    <mergeCell ref="A233:B233"/>
    <mergeCell ref="A229:B229"/>
    <mergeCell ref="A221:B221"/>
    <mergeCell ref="A225:B225"/>
    <mergeCell ref="A202:B202"/>
    <mergeCell ref="A169:B169"/>
    <mergeCell ref="A181:A182"/>
    <mergeCell ref="A159:B159"/>
    <mergeCell ref="A160:B160"/>
    <mergeCell ref="A201:B201"/>
    <mergeCell ref="A197:A198"/>
    <mergeCell ref="A193:A194"/>
    <mergeCell ref="A209:B209"/>
    <mergeCell ref="A204:B204"/>
    <mergeCell ref="A158:B158"/>
    <mergeCell ref="A267:B267"/>
    <mergeCell ref="A268:B268"/>
    <mergeCell ref="A257:B257"/>
    <mergeCell ref="A261:B261"/>
    <mergeCell ref="A245:B245"/>
    <mergeCell ref="A249:B249"/>
    <mergeCell ref="A370:B370"/>
    <mergeCell ref="A342:B342"/>
    <mergeCell ref="A335:B335"/>
    <mergeCell ref="A363:B363"/>
    <mergeCell ref="A306:B306"/>
    <mergeCell ref="A313:B313"/>
    <mergeCell ref="A320:B320"/>
    <mergeCell ref="A270:B270"/>
    <mergeCell ref="A285:B285"/>
    <mergeCell ref="A292:B292"/>
    <mergeCell ref="A299:B299"/>
    <mergeCell ref="A328:B328"/>
    <mergeCell ref="A327:C327"/>
    <mergeCell ref="A349:B349"/>
    <mergeCell ref="A356:B356"/>
    <mergeCell ref="A271:B271"/>
    <mergeCell ref="A278:B278"/>
    <mergeCell ref="A265:B265"/>
  </mergeCells>
  <phoneticPr fontId="5" type="noConversion"/>
  <pageMargins left="0.5" right="0.5" top="0.5" bottom="0.5" header="0.25" footer="0.25"/>
  <pageSetup fitToHeight="0" orientation="portrait" r:id="rId1"/>
  <headerFooter alignWithMargins="0">
    <oddFooter>&amp;L&amp;D&amp;C&amp;P&amp;R&amp;T</oddFooter>
  </headerFooter>
  <ignoredErrors>
    <ignoredError sqref="C47:D47 E47:G47 C54:G54 C61:G61 C68:G68 C75:G75 C82:G82 C89:G89 C96:G9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32</vt:i4>
      </vt:variant>
    </vt:vector>
  </HeadingPairs>
  <TitlesOfParts>
    <vt:vector size="49" baseType="lpstr">
      <vt:lpstr>Instructions</vt:lpstr>
      <vt:lpstr>Personnel Yr 1</vt:lpstr>
      <vt:lpstr>Personnel Yr 2</vt:lpstr>
      <vt:lpstr>Personnel Yr 3</vt:lpstr>
      <vt:lpstr>Personnel Yr 4</vt:lpstr>
      <vt:lpstr>Personnel Yr 5</vt:lpstr>
      <vt:lpstr>Non-personnel</vt:lpstr>
      <vt:lpstr>Summary</vt:lpstr>
      <vt:lpstr>CUSE Grant Budget Form</vt:lpstr>
      <vt:lpstr>NIH Mod-Even Dist</vt:lpstr>
      <vt:lpstr>NIH Mod-Free</vt:lpstr>
      <vt:lpstr>OSA</vt:lpstr>
      <vt:lpstr>Drop Choices</vt:lpstr>
      <vt:lpstr>Justification</vt:lpstr>
      <vt:lpstr>424a</vt:lpstr>
      <vt:lpstr>ED524</vt:lpstr>
      <vt:lpstr>Change Log</vt:lpstr>
      <vt:lpstr>Ben</vt:lpstr>
      <vt:lpstr>Confirm2</vt:lpstr>
      <vt:lpstr>Duration</vt:lpstr>
      <vt:lpstr>Grad</vt:lpstr>
      <vt:lpstr>GradR</vt:lpstr>
      <vt:lpstr>IDCDesc</vt:lpstr>
      <vt:lpstr>IDCDesc2</vt:lpstr>
      <vt:lpstr>IDCList</vt:lpstr>
      <vt:lpstr>IDCList2</vt:lpstr>
      <vt:lpstr>IDCRate</vt:lpstr>
      <vt:lpstr>IDCRate2</vt:lpstr>
      <vt:lpstr>IDCType</vt:lpstr>
      <vt:lpstr>NIHGradLimit</vt:lpstr>
      <vt:lpstr>NIHSalaryCap</vt:lpstr>
      <vt:lpstr>Per</vt:lpstr>
      <vt:lpstr>Prefix</vt:lpstr>
      <vt:lpstr>Instructions!Print_Area</vt:lpstr>
      <vt:lpstr>Justification!Print_Area</vt:lpstr>
      <vt:lpstr>'NIH Mod-Even Dist'!Print_Area</vt:lpstr>
      <vt:lpstr>'NIH Mod-Free'!Print_Area</vt:lpstr>
      <vt:lpstr>'Non-personnel'!Print_Area</vt:lpstr>
      <vt:lpstr>'Personnel Yr 1'!Print_Area</vt:lpstr>
      <vt:lpstr>'Personnel Yr 2'!Print_Area</vt:lpstr>
      <vt:lpstr>'Personnel Yr 3'!Print_Area</vt:lpstr>
      <vt:lpstr>'Personnel Yr 4'!Print_Area</vt:lpstr>
      <vt:lpstr>'Personnel Yr 5'!Print_Area</vt:lpstr>
      <vt:lpstr>Summary!Print_Area</vt:lpstr>
      <vt:lpstr>'CUSE Grant Budget Form'!Print_Titles</vt:lpstr>
      <vt:lpstr>'Non-personnel'!Print_Titles</vt:lpstr>
      <vt:lpstr>Roles</vt:lpstr>
      <vt:lpstr>TuitionDesc</vt:lpstr>
      <vt:lpstr>TuitionRate</vt:lpstr>
    </vt:vector>
  </TitlesOfParts>
  <Company>Syracuse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Taub</dc:creator>
  <cp:lastModifiedBy>Jeffrey T Falchi</cp:lastModifiedBy>
  <cp:lastPrinted>2020-12-18T21:21:25Z</cp:lastPrinted>
  <dcterms:created xsi:type="dcterms:W3CDTF">2007-05-17T13:06:29Z</dcterms:created>
  <dcterms:modified xsi:type="dcterms:W3CDTF">2021-12-10T19:35:11Z</dcterms:modified>
</cp:coreProperties>
</file>